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4220" windowHeight="9345" tabRatio="837"/>
  </bookViews>
  <sheets>
    <sheet name="OFERTOWY" sheetId="1" r:id="rId1"/>
    <sheet name="PRZEDMIAR" sheetId="28" r:id="rId2"/>
    <sheet name="T1 zjazdy lewe" sheetId="8" r:id="rId3"/>
    <sheet name="T2 zj. prawe" sheetId="9" r:id="rId4"/>
    <sheet name="T3 ch.lewe" sheetId="10" r:id="rId5"/>
    <sheet name="T4 ch.prawe" sheetId="11" r:id="rId6"/>
    <sheet name="T4 Holland" sheetId="12" r:id="rId7"/>
    <sheet name="T5 studz." sheetId="13" r:id="rId8"/>
    <sheet name="T7 wiążąca" sheetId="26" r:id="rId9"/>
    <sheet name="T6 ścieralna" sheetId="14" r:id="rId10"/>
    <sheet name="Wykaz studni" sheetId="27" r:id="rId11"/>
  </sheets>
  <definedNames>
    <definedName name="_xlnm.Print_Titles" localSheetId="0">OFERTOWY!$2:$2</definedName>
    <definedName name="_xlnm.Print_Titles" localSheetId="1">PRZEDMIAR!$2:$2</definedName>
    <definedName name="_xlnm.Print_Titles" localSheetId="5">'T4 ch.prawe'!$3:$4</definedName>
    <definedName name="www.interia.pl" localSheetId="4">'T3 ch.lewe'!$E$32:$K$1031</definedName>
  </definedNames>
  <calcPr calcId="125725" fullPrecision="0"/>
</workbook>
</file>

<file path=xl/calcChain.xml><?xml version="1.0" encoding="utf-8"?>
<calcChain xmlns="http://schemas.openxmlformats.org/spreadsheetml/2006/main">
  <c r="F73" i="1"/>
  <c r="F7"/>
  <c r="F6"/>
  <c r="D67"/>
  <c r="F5"/>
  <c r="F4"/>
  <c r="K19" i="13" l="1"/>
  <c r="K26" s="1"/>
  <c r="E26"/>
  <c r="F26"/>
  <c r="G26"/>
  <c r="H26"/>
  <c r="I26"/>
  <c r="J26"/>
  <c r="L26"/>
  <c r="M26"/>
  <c r="N26"/>
  <c r="O26"/>
  <c r="P26"/>
  <c r="Q26"/>
  <c r="R26"/>
  <c r="S26"/>
  <c r="D5" i="1"/>
  <c r="F54" i="28" l="1"/>
  <c r="H38" i="14"/>
  <c r="F114" i="28"/>
  <c r="F72" i="1" s="1"/>
  <c r="F91" i="28"/>
  <c r="F120"/>
  <c r="F111"/>
  <c r="F110"/>
  <c r="F109"/>
  <c r="F87"/>
  <c r="F61" i="1" s="1"/>
  <c r="F86" i="28"/>
  <c r="F85"/>
  <c r="F57" i="1"/>
  <c r="H57" s="1"/>
  <c r="E57"/>
  <c r="B57"/>
  <c r="C57"/>
  <c r="D57"/>
  <c r="F45"/>
  <c r="H45" s="1"/>
  <c r="E45"/>
  <c r="B45"/>
  <c r="C45"/>
  <c r="D45"/>
  <c r="F67" i="28"/>
  <c r="F73"/>
  <c r="F71" s="1"/>
  <c r="F66"/>
  <c r="F42"/>
  <c r="F40" s="1"/>
  <c r="F32" i="1" s="1"/>
  <c r="F25" i="28"/>
  <c r="F24"/>
  <c r="F11"/>
  <c r="B67" i="1"/>
  <c r="B68"/>
  <c r="B69"/>
  <c r="B70"/>
  <c r="B71"/>
  <c r="B72"/>
  <c r="B73"/>
  <c r="C67"/>
  <c r="C68"/>
  <c r="C69"/>
  <c r="C70"/>
  <c r="C71"/>
  <c r="C72"/>
  <c r="C73"/>
  <c r="D68"/>
  <c r="D69"/>
  <c r="D70"/>
  <c r="D71"/>
  <c r="D72"/>
  <c r="D73"/>
  <c r="E67"/>
  <c r="E68"/>
  <c r="E69"/>
  <c r="E70"/>
  <c r="E71"/>
  <c r="E72"/>
  <c r="E73"/>
  <c r="E66"/>
  <c r="D66"/>
  <c r="C66"/>
  <c r="B66"/>
  <c r="C65"/>
  <c r="B65"/>
  <c r="F62"/>
  <c r="F63"/>
  <c r="E61"/>
  <c r="E62"/>
  <c r="E63"/>
  <c r="D61"/>
  <c r="D62"/>
  <c r="D63"/>
  <c r="C61"/>
  <c r="C62"/>
  <c r="C63"/>
  <c r="B61"/>
  <c r="B62"/>
  <c r="B63"/>
  <c r="E60"/>
  <c r="D60"/>
  <c r="C60"/>
  <c r="B60"/>
  <c r="C59"/>
  <c r="B59"/>
  <c r="B52"/>
  <c r="B53"/>
  <c r="B54"/>
  <c r="B55"/>
  <c r="B56"/>
  <c r="B51"/>
  <c r="B49"/>
  <c r="B50"/>
  <c r="F53"/>
  <c r="F54"/>
  <c r="F55"/>
  <c r="F56"/>
  <c r="E49"/>
  <c r="E50"/>
  <c r="E51"/>
  <c r="E52"/>
  <c r="E53"/>
  <c r="E54"/>
  <c r="E55"/>
  <c r="E56"/>
  <c r="D49"/>
  <c r="D50"/>
  <c r="D51"/>
  <c r="D52"/>
  <c r="D53"/>
  <c r="D54"/>
  <c r="D55"/>
  <c r="D56"/>
  <c r="C49"/>
  <c r="C50"/>
  <c r="C51"/>
  <c r="C52"/>
  <c r="C53"/>
  <c r="C54"/>
  <c r="C55"/>
  <c r="C56"/>
  <c r="E48"/>
  <c r="D48"/>
  <c r="C48"/>
  <c r="B48"/>
  <c r="C47"/>
  <c r="B47"/>
  <c r="B42"/>
  <c r="B43"/>
  <c r="B44"/>
  <c r="C42"/>
  <c r="C43"/>
  <c r="C44"/>
  <c r="D42"/>
  <c r="D43"/>
  <c r="D44"/>
  <c r="E42"/>
  <c r="E43"/>
  <c r="E44"/>
  <c r="E41"/>
  <c r="D41"/>
  <c r="C41"/>
  <c r="B41"/>
  <c r="C40"/>
  <c r="B40"/>
  <c r="B37"/>
  <c r="B38"/>
  <c r="C37"/>
  <c r="C38"/>
  <c r="D37"/>
  <c r="D38"/>
  <c r="E37"/>
  <c r="E38"/>
  <c r="B36"/>
  <c r="C36"/>
  <c r="D36"/>
  <c r="E36"/>
  <c r="C35"/>
  <c r="B35"/>
  <c r="B23"/>
  <c r="B24"/>
  <c r="B25"/>
  <c r="B26"/>
  <c r="B27"/>
  <c r="B28"/>
  <c r="B29"/>
  <c r="B30"/>
  <c r="B31"/>
  <c r="B32"/>
  <c r="C23"/>
  <c r="C24"/>
  <c r="C25"/>
  <c r="C26"/>
  <c r="C27"/>
  <c r="C28"/>
  <c r="C29"/>
  <c r="C30"/>
  <c r="C31"/>
  <c r="C32"/>
  <c r="D23"/>
  <c r="D24"/>
  <c r="D25"/>
  <c r="D26"/>
  <c r="D27"/>
  <c r="D28"/>
  <c r="D29"/>
  <c r="D30"/>
  <c r="D31"/>
  <c r="D32"/>
  <c r="E23"/>
  <c r="E24"/>
  <c r="E25"/>
  <c r="E26"/>
  <c r="E27"/>
  <c r="E28"/>
  <c r="E29"/>
  <c r="E30"/>
  <c r="E31"/>
  <c r="E32"/>
  <c r="F31"/>
  <c r="B22"/>
  <c r="C22"/>
  <c r="D22"/>
  <c r="E22"/>
  <c r="C21"/>
  <c r="B21"/>
  <c r="C18"/>
  <c r="B18"/>
  <c r="B19"/>
  <c r="C19"/>
  <c r="D19"/>
  <c r="E19"/>
  <c r="C3"/>
  <c r="B3"/>
  <c r="F2"/>
  <c r="E2"/>
  <c r="D2"/>
  <c r="C2"/>
  <c r="B2"/>
  <c r="F107" i="28" l="1"/>
  <c r="F83"/>
  <c r="F22"/>
  <c r="F19" i="1" s="1"/>
  <c r="B5"/>
  <c r="B6"/>
  <c r="B7"/>
  <c r="B8"/>
  <c r="B9"/>
  <c r="B10"/>
  <c r="B11"/>
  <c r="B12"/>
  <c r="B13"/>
  <c r="B14"/>
  <c r="B15"/>
  <c r="B16"/>
  <c r="C5"/>
  <c r="C6"/>
  <c r="C7"/>
  <c r="C8"/>
  <c r="C9"/>
  <c r="C10"/>
  <c r="C11"/>
  <c r="C12"/>
  <c r="C13"/>
  <c r="C14"/>
  <c r="C15"/>
  <c r="C16"/>
  <c r="D6"/>
  <c r="D7"/>
  <c r="D8"/>
  <c r="D9"/>
  <c r="D10"/>
  <c r="D11"/>
  <c r="D12"/>
  <c r="D13"/>
  <c r="D14"/>
  <c r="D15"/>
  <c r="D16"/>
  <c r="E5"/>
  <c r="E6"/>
  <c r="E7"/>
  <c r="E8"/>
  <c r="E9"/>
  <c r="E10"/>
  <c r="E11"/>
  <c r="E12"/>
  <c r="E13"/>
  <c r="E14"/>
  <c r="E15"/>
  <c r="E16"/>
  <c r="F10"/>
  <c r="F13"/>
  <c r="F14"/>
  <c r="F15"/>
  <c r="B4"/>
  <c r="C4"/>
  <c r="E4"/>
  <c r="F113" i="28"/>
  <c r="F71" i="1" s="1"/>
  <c r="F48" i="28"/>
  <c r="F60" i="1"/>
  <c r="F48"/>
  <c r="F62" i="28"/>
  <c r="F49" s="1"/>
  <c r="F35"/>
  <c r="F30" i="1" s="1"/>
  <c r="F34" i="28"/>
  <c r="F29" i="1" s="1"/>
  <c r="F33" i="28"/>
  <c r="F28" i="1" s="1"/>
  <c r="F32" i="28"/>
  <c r="F27" i="1" s="1"/>
  <c r="F31" i="28"/>
  <c r="F26" i="1" s="1"/>
  <c r="F30" i="28"/>
  <c r="F25" i="1" s="1"/>
  <c r="F29" i="28"/>
  <c r="F24" i="1" s="1"/>
  <c r="F28" i="28"/>
  <c r="F23" i="1" s="1"/>
  <c r="F27" i="28"/>
  <c r="F22" i="1" s="1"/>
  <c r="F15" i="28"/>
  <c r="F12" i="1" s="1"/>
  <c r="F14" i="28"/>
  <c r="F11" i="1" s="1"/>
  <c r="F12" i="28"/>
  <c r="F9" i="1" s="1"/>
  <c r="F4" i="28"/>
  <c r="F46" l="1"/>
  <c r="F36" i="1" s="1"/>
  <c r="F50"/>
  <c r="F49"/>
  <c r="F69"/>
  <c r="F10" i="28"/>
  <c r="F8" s="1"/>
  <c r="F44" i="1"/>
  <c r="F7" i="28"/>
  <c r="K8" i="10"/>
  <c r="J8"/>
  <c r="F8"/>
  <c r="C8"/>
  <c r="D8" s="1"/>
  <c r="K6"/>
  <c r="J6"/>
  <c r="F6"/>
  <c r="C6"/>
  <c r="D6" s="1"/>
  <c r="M22" i="11"/>
  <c r="F8" i="1" l="1"/>
  <c r="G8" i="10"/>
  <c r="G6"/>
  <c r="F58" i="27"/>
  <c r="F63"/>
  <c r="F53"/>
  <c r="F48"/>
  <c r="F68"/>
  <c r="F43"/>
  <c r="F38"/>
  <c r="F20" l="1"/>
  <c r="F15"/>
  <c r="F10"/>
  <c r="F25"/>
  <c r="H14" i="1"/>
  <c r="H53"/>
  <c r="F18" i="26" l="1"/>
  <c r="D18"/>
  <c r="H18" i="14"/>
  <c r="H18" i="26" s="1"/>
  <c r="F18" i="14"/>
  <c r="D18"/>
  <c r="E13" i="12"/>
  <c r="G18" i="14" l="1"/>
  <c r="I18" s="1"/>
  <c r="G18" i="26"/>
  <c r="I18" s="1"/>
  <c r="I40" i="8"/>
  <c r="I20" l="1"/>
  <c r="I27" i="9" l="1"/>
  <c r="B32" i="11" l="1"/>
  <c r="D32" s="1"/>
  <c r="E32" s="1"/>
  <c r="G32"/>
  <c r="K32"/>
  <c r="K16"/>
  <c r="G16"/>
  <c r="D16"/>
  <c r="E16" s="1"/>
  <c r="L14" i="10"/>
  <c r="H14"/>
  <c r="K22" i="11"/>
  <c r="G22"/>
  <c r="D22"/>
  <c r="E22" s="1"/>
  <c r="H6" i="1"/>
  <c r="H32" i="11" l="1"/>
  <c r="H16"/>
  <c r="H22"/>
  <c r="H44" i="1"/>
  <c r="K34" i="11"/>
  <c r="G34"/>
  <c r="D34"/>
  <c r="E34" s="1"/>
  <c r="K22" i="10"/>
  <c r="J22"/>
  <c r="F22"/>
  <c r="C22"/>
  <c r="D22" s="1"/>
  <c r="F36" i="26"/>
  <c r="D36"/>
  <c r="H34"/>
  <c r="F34"/>
  <c r="D34"/>
  <c r="F32"/>
  <c r="D32"/>
  <c r="F30"/>
  <c r="D30"/>
  <c r="F28"/>
  <c r="D28"/>
  <c r="H34" i="14"/>
  <c r="F32"/>
  <c r="F34"/>
  <c r="D34"/>
  <c r="D32"/>
  <c r="H54" i="1"/>
  <c r="H72"/>
  <c r="H34" i="11" l="1"/>
  <c r="G22" i="10"/>
  <c r="G34" i="26"/>
  <c r="I34" s="1"/>
  <c r="G34" i="14"/>
  <c r="I34" s="1"/>
  <c r="G30" i="26"/>
  <c r="I30" s="1"/>
  <c r="G36"/>
  <c r="I36" s="1"/>
  <c r="F36" i="14"/>
  <c r="D36"/>
  <c r="F30"/>
  <c r="D30"/>
  <c r="G30" l="1"/>
  <c r="I30" s="1"/>
  <c r="F28"/>
  <c r="D28"/>
  <c r="G28" s="1"/>
  <c r="I28" s="1"/>
  <c r="F26" l="1"/>
  <c r="D26"/>
  <c r="F24"/>
  <c r="D24"/>
  <c r="F22"/>
  <c r="D22"/>
  <c r="G22" s="1"/>
  <c r="F20"/>
  <c r="D20"/>
  <c r="F14"/>
  <c r="D14"/>
  <c r="F12"/>
  <c r="D12"/>
  <c r="H10"/>
  <c r="F10"/>
  <c r="D10"/>
  <c r="G20" l="1"/>
  <c r="D38"/>
  <c r="G10"/>
  <c r="G12"/>
  <c r="I12" s="1"/>
  <c r="I20"/>
  <c r="G14"/>
  <c r="I14" s="1"/>
  <c r="I22"/>
  <c r="H26" i="26"/>
  <c r="F26"/>
  <c r="D26"/>
  <c r="H24"/>
  <c r="F24"/>
  <c r="D24"/>
  <c r="H22"/>
  <c r="F22"/>
  <c r="D22"/>
  <c r="H20"/>
  <c r="F20"/>
  <c r="D20"/>
  <c r="H14"/>
  <c r="F14"/>
  <c r="D14"/>
  <c r="H12"/>
  <c r="F12"/>
  <c r="D12"/>
  <c r="H10"/>
  <c r="F10"/>
  <c r="D10"/>
  <c r="H22" i="1"/>
  <c r="F15" i="12"/>
  <c r="H14"/>
  <c r="F13"/>
  <c r="F9"/>
  <c r="F8"/>
  <c r="J42" i="11"/>
  <c r="I42"/>
  <c r="L40"/>
  <c r="K38"/>
  <c r="G38"/>
  <c r="H38" s="1"/>
  <c r="K30"/>
  <c r="G30"/>
  <c r="B30"/>
  <c r="K28"/>
  <c r="G28"/>
  <c r="D28"/>
  <c r="E28" s="1"/>
  <c r="K26"/>
  <c r="G26"/>
  <c r="D26"/>
  <c r="E26" s="1"/>
  <c r="K24"/>
  <c r="G24"/>
  <c r="D24"/>
  <c r="E24" s="1"/>
  <c r="K20"/>
  <c r="G20"/>
  <c r="D20"/>
  <c r="E20" s="1"/>
  <c r="K18"/>
  <c r="G18"/>
  <c r="D18"/>
  <c r="E18" s="1"/>
  <c r="K14"/>
  <c r="G14"/>
  <c r="D14"/>
  <c r="K12"/>
  <c r="G12"/>
  <c r="D12"/>
  <c r="K10"/>
  <c r="G10"/>
  <c r="D10"/>
  <c r="K8"/>
  <c r="G8"/>
  <c r="D8"/>
  <c r="K6"/>
  <c r="G6"/>
  <c r="D6"/>
  <c r="L27" i="10"/>
  <c r="I27"/>
  <c r="H27"/>
  <c r="F104" i="28" s="1"/>
  <c r="F66" i="1" s="1"/>
  <c r="F10" i="12" l="1"/>
  <c r="H9" s="1"/>
  <c r="F16"/>
  <c r="H15" s="1"/>
  <c r="E10" i="11"/>
  <c r="H10" s="1"/>
  <c r="H8" i="12"/>
  <c r="H13"/>
  <c r="G12" i="26"/>
  <c r="I12" s="1"/>
  <c r="E8" i="11"/>
  <c r="G10" i="26"/>
  <c r="I10" s="1"/>
  <c r="D38"/>
  <c r="G20"/>
  <c r="I20" s="1"/>
  <c r="G22"/>
  <c r="I22" s="1"/>
  <c r="H28" i="11"/>
  <c r="E6"/>
  <c r="H6" s="1"/>
  <c r="H8"/>
  <c r="H12"/>
  <c r="H26"/>
  <c r="K42"/>
  <c r="H20"/>
  <c r="H24"/>
  <c r="E14"/>
  <c r="H18"/>
  <c r="M42"/>
  <c r="L42" s="1"/>
  <c r="I10" i="14"/>
  <c r="G14" i="26"/>
  <c r="I14" s="1"/>
  <c r="G24"/>
  <c r="I24" s="1"/>
  <c r="G26"/>
  <c r="I26" s="1"/>
  <c r="J24" i="10"/>
  <c r="F24"/>
  <c r="F105" i="28" l="1"/>
  <c r="F67" i="1" s="1"/>
  <c r="H16" i="12"/>
  <c r="H10"/>
  <c r="H18" s="1"/>
  <c r="G24" i="10"/>
  <c r="K20"/>
  <c r="J20"/>
  <c r="F20"/>
  <c r="C20"/>
  <c r="K18"/>
  <c r="J18"/>
  <c r="F18"/>
  <c r="C18"/>
  <c r="K16"/>
  <c r="F16"/>
  <c r="C16"/>
  <c r="K14"/>
  <c r="J14"/>
  <c r="F14"/>
  <c r="C14"/>
  <c r="K12"/>
  <c r="J12"/>
  <c r="D18" l="1"/>
  <c r="G18" s="1"/>
  <c r="F18" i="12"/>
  <c r="G40" i="14"/>
  <c r="D16" i="10"/>
  <c r="D14"/>
  <c r="G14" s="1"/>
  <c r="D20"/>
  <c r="G20" s="1"/>
  <c r="F12"/>
  <c r="C12"/>
  <c r="K10"/>
  <c r="K27" s="1"/>
  <c r="J10"/>
  <c r="F10"/>
  <c r="C10"/>
  <c r="L51" i="9"/>
  <c r="J51"/>
  <c r="I50"/>
  <c r="I47"/>
  <c r="I45"/>
  <c r="I43"/>
  <c r="I41"/>
  <c r="I39"/>
  <c r="I37"/>
  <c r="I35"/>
  <c r="I33"/>
  <c r="I31"/>
  <c r="I29"/>
  <c r="I25"/>
  <c r="I23"/>
  <c r="I21"/>
  <c r="I19"/>
  <c r="I17"/>
  <c r="I15"/>
  <c r="I13"/>
  <c r="I11"/>
  <c r="I9"/>
  <c r="I7"/>
  <c r="I5"/>
  <c r="K44" i="8"/>
  <c r="F76" i="28" s="1"/>
  <c r="F52" i="1" s="1"/>
  <c r="J44" i="8"/>
  <c r="F75" i="28" s="1"/>
  <c r="F51" i="1" s="1"/>
  <c r="F44" i="8"/>
  <c r="I38"/>
  <c r="I36"/>
  <c r="I34"/>
  <c r="I32"/>
  <c r="I30"/>
  <c r="I28"/>
  <c r="I26"/>
  <c r="I24"/>
  <c r="I22"/>
  <c r="I18"/>
  <c r="I17"/>
  <c r="I16"/>
  <c r="I14"/>
  <c r="I12"/>
  <c r="I10"/>
  <c r="I8"/>
  <c r="I6"/>
  <c r="I51" i="9" l="1"/>
  <c r="F53" i="28" s="1"/>
  <c r="C26" i="10"/>
  <c r="D12"/>
  <c r="G12" s="1"/>
  <c r="G10"/>
  <c r="I44" i="8"/>
  <c r="F52" i="28" s="1"/>
  <c r="F50" l="1"/>
  <c r="F37" i="1" s="1"/>
  <c r="I46" i="8"/>
  <c r="F106" i="28"/>
  <c r="F68" i="1" s="1"/>
  <c r="G27" i="10"/>
  <c r="D26"/>
  <c r="H73" i="1"/>
  <c r="H69"/>
  <c r="H66"/>
  <c r="H63"/>
  <c r="H62"/>
  <c r="H61"/>
  <c r="H60"/>
  <c r="H56"/>
  <c r="H55"/>
  <c r="F112" i="28" l="1"/>
  <c r="F70" i="1" s="1"/>
  <c r="F56" i="28"/>
  <c r="F38" i="1" s="1"/>
  <c r="H52"/>
  <c r="H51"/>
  <c r="H68"/>
  <c r="H64"/>
  <c r="H71"/>
  <c r="H49"/>
  <c r="H48"/>
  <c r="H50" l="1"/>
  <c r="H58" s="1"/>
  <c r="H36"/>
  <c r="H32"/>
  <c r="H31"/>
  <c r="H28"/>
  <c r="H27"/>
  <c r="H26"/>
  <c r="H25"/>
  <c r="H24" s="1"/>
  <c r="H23"/>
  <c r="H29" l="1"/>
  <c r="H19"/>
  <c r="H20" s="1"/>
  <c r="H30"/>
  <c r="H37"/>
  <c r="H15"/>
  <c r="H13"/>
  <c r="H10"/>
  <c r="H9"/>
  <c r="H34" l="1"/>
  <c r="H12"/>
  <c r="H11"/>
  <c r="H4"/>
  <c r="H8" l="1"/>
  <c r="H7"/>
  <c r="G40" i="26" l="1"/>
  <c r="I38" l="1"/>
  <c r="G41" s="1"/>
  <c r="F60" i="28" s="1"/>
  <c r="G38" i="26"/>
  <c r="F42" i="1" l="1"/>
  <c r="H42" s="1"/>
  <c r="F19" i="28"/>
  <c r="F16" i="1" s="1"/>
  <c r="H16" l="1"/>
  <c r="H17" s="1"/>
  <c r="G24" i="14"/>
  <c r="G26"/>
  <c r="I26" s="1"/>
  <c r="G36"/>
  <c r="I24" l="1"/>
  <c r="G38"/>
  <c r="I36"/>
  <c r="I38" l="1"/>
  <c r="G41" s="1"/>
  <c r="D30" i="11"/>
  <c r="E30" s="1"/>
  <c r="F61" i="28" l="1"/>
  <c r="H30" i="11"/>
  <c r="H42" s="1"/>
  <c r="H38" i="1" s="1"/>
  <c r="H39" s="1"/>
  <c r="E40" i="11"/>
  <c r="D40"/>
  <c r="F43" i="1" l="1"/>
  <c r="H43" s="1"/>
  <c r="F59" i="28"/>
  <c r="F41" i="1" s="1"/>
  <c r="H41" s="1"/>
  <c r="H70"/>
  <c r="H74" s="1"/>
  <c r="H46" l="1"/>
  <c r="H75" s="1"/>
  <c r="H76" l="1"/>
  <c r="H77" s="1"/>
</calcChain>
</file>

<file path=xl/connections.xml><?xml version="1.0" encoding="utf-8"?>
<connections xmlns="http://schemas.openxmlformats.org/spreadsheetml/2006/main">
  <connection id="1" name="Połączenie" type="4" refreshedVersion="3" background="1" saveData="1">
    <webPr sourceData="1" parsePre="1" consecutive="1" xl2000="1" url="http://www.interia.pl"/>
  </connection>
</connections>
</file>

<file path=xl/sharedStrings.xml><?xml version="1.0" encoding="utf-8"?>
<sst xmlns="http://schemas.openxmlformats.org/spreadsheetml/2006/main" count="812" uniqueCount="356">
  <si>
    <t>Lp.</t>
  </si>
  <si>
    <t>Nr spec.techn.</t>
  </si>
  <si>
    <t>Opis</t>
  </si>
  <si>
    <t>Jedn.obm.</t>
  </si>
  <si>
    <t>Ilość</t>
  </si>
  <si>
    <t>1.1</t>
  </si>
  <si>
    <t>01.01.01.22</t>
  </si>
  <si>
    <t>km</t>
  </si>
  <si>
    <t>01.02.04.13</t>
  </si>
  <si>
    <t>m2</t>
  </si>
  <si>
    <t>1.3</t>
  </si>
  <si>
    <t>01.02.04.41</t>
  </si>
  <si>
    <t>m</t>
  </si>
  <si>
    <t>1.4</t>
  </si>
  <si>
    <t>01.02.04.11</t>
  </si>
  <si>
    <t>1.5</t>
  </si>
  <si>
    <t>1.6</t>
  </si>
  <si>
    <t>01.02.04.28</t>
  </si>
  <si>
    <t>1.7</t>
  </si>
  <si>
    <t>1.8</t>
  </si>
  <si>
    <t>1.9</t>
  </si>
  <si>
    <t>szt.</t>
  </si>
  <si>
    <t>1.10</t>
  </si>
  <si>
    <t>1.11</t>
  </si>
  <si>
    <t>1.12</t>
  </si>
  <si>
    <t>01.02.04.10</t>
  </si>
  <si>
    <t>m3</t>
  </si>
  <si>
    <t>01.02.04.22</t>
  </si>
  <si>
    <t>2.1</t>
  </si>
  <si>
    <t>3.1</t>
  </si>
  <si>
    <t>03.01.01.60</t>
  </si>
  <si>
    <t>ściank.</t>
  </si>
  <si>
    <t>3.2</t>
  </si>
  <si>
    <t>3.3</t>
  </si>
  <si>
    <t>3.4</t>
  </si>
  <si>
    <t>4.3</t>
  </si>
  <si>
    <t>5.1</t>
  </si>
  <si>
    <t>5.3</t>
  </si>
  <si>
    <t>05.03.05.60</t>
  </si>
  <si>
    <t>t</t>
  </si>
  <si>
    <t>5.4</t>
  </si>
  <si>
    <t>5.5</t>
  </si>
  <si>
    <t>6.1</t>
  </si>
  <si>
    <t>6.2</t>
  </si>
  <si>
    <t>6.3</t>
  </si>
  <si>
    <t>06.03.01.31</t>
  </si>
  <si>
    <t>06.01.03.23</t>
  </si>
  <si>
    <t>6.5</t>
  </si>
  <si>
    <t>06.01.03.26</t>
  </si>
  <si>
    <t>6.7</t>
  </si>
  <si>
    <t>07.01.01.02</t>
  </si>
  <si>
    <t>7.2</t>
  </si>
  <si>
    <t>07.02.01.11</t>
  </si>
  <si>
    <t>7.3</t>
  </si>
  <si>
    <t>7.4</t>
  </si>
  <si>
    <t>8.1</t>
  </si>
  <si>
    <t>8.2</t>
  </si>
  <si>
    <t>08.01.01.12</t>
  </si>
  <si>
    <t>8.3</t>
  </si>
  <si>
    <t>08.03.01.11</t>
  </si>
  <si>
    <t>8.4</t>
  </si>
  <si>
    <t>08.04.01.14</t>
  </si>
  <si>
    <t>8.5</t>
  </si>
  <si>
    <t>08.02.02.12</t>
  </si>
  <si>
    <t>06.02.01.22</t>
  </si>
  <si>
    <t>Słownie:</t>
  </si>
  <si>
    <t>3.6</t>
  </si>
  <si>
    <t>3.8</t>
  </si>
  <si>
    <t>3.9</t>
  </si>
  <si>
    <t>3.10</t>
  </si>
  <si>
    <t>6.8</t>
  </si>
  <si>
    <t>6.9</t>
  </si>
  <si>
    <t>6.10</t>
  </si>
  <si>
    <t>8.6</t>
  </si>
  <si>
    <t>ROBOTY PRZYGOTOWAWCZE 01.00.00. CPV 45111200-0</t>
  </si>
  <si>
    <t>ROBOTY ZIEMNE 02.00.00. CPV 45111200-0</t>
  </si>
  <si>
    <t>Razem dział:  ROBOTY PRZYGOTOWAWCZE</t>
  </si>
  <si>
    <t>Razem dział:  ROBOTY ZIEMNE</t>
  </si>
  <si>
    <t>ODWODNIENIE 03.00.00. CPV 45232400-6</t>
  </si>
  <si>
    <t>Razem dział:  ODWODNIENIE</t>
  </si>
  <si>
    <t>PODBUDOWY 04.00.00. CPV 45233220-6</t>
  </si>
  <si>
    <t>Razem dział:  PODBUDOWY</t>
  </si>
  <si>
    <t>NAWIERZCHNIE 05.00.00. CPV 45232220-7</t>
  </si>
  <si>
    <t>Razem dział:  NAWIERZCHNIE</t>
  </si>
  <si>
    <t>ROBOTY WYKOŃCZENIOWE 06.00.00. CPV 451233200-1</t>
  </si>
  <si>
    <t>Razem dział:  ROBOTY WYKOŃCZENIOWE</t>
  </si>
  <si>
    <t>URZĄDZENIA BEZPIECZEŃSTWA 07.00.00. CPV 451233290-8</t>
  </si>
  <si>
    <t>Razem dział:  ELEMENTY ULIC</t>
  </si>
  <si>
    <t>Razem netto w zł.</t>
  </si>
  <si>
    <t>Vat 23% z zł.</t>
  </si>
  <si>
    <t>Razem brutto w zł.</t>
  </si>
  <si>
    <t>ELEMENTY ULIC 08.00.00. CPV 45233220-7</t>
  </si>
  <si>
    <t>8.7</t>
  </si>
  <si>
    <t>8.8</t>
  </si>
  <si>
    <t>Rozebranie istniejacych przelotowych części przepustów pod zjazdami i skrzyżowaniami</t>
  </si>
  <si>
    <t>Rozebranie krawężników betonowych na podsypce piaskowej z wywiezieniem gruzu zgodnie z warunkami umowy</t>
  </si>
  <si>
    <t>01.02.04.46</t>
  </si>
  <si>
    <t>Rozebranie obrzeży trawnikowych o wymiarach 6x20 cm na podsypce piaskowej wraz z wywiezieniem gruzu zgodnie z warunkami umowy</t>
  </si>
  <si>
    <t>Rozebranie chodników, zabezpieczenia skarp z płyt betonowych 50x50x7  cm na podsypce piaskowej z wywiezieniem gruzu zgodnie z warunkami umowy.</t>
  </si>
  <si>
    <t>01.02.04.29</t>
  </si>
  <si>
    <t>Ręczne rozebranie nawierzchni z kostki betonowej z wywiezieniem gruzu zgodnie z warunkami umowy</t>
  </si>
  <si>
    <t>01.02.04.30</t>
  </si>
  <si>
    <t>Rozebranie ścieków z elementów betonowych o grubości 15 cm na podsypce cem.piaskowej</t>
  </si>
  <si>
    <t>01.02.04.09</t>
  </si>
  <si>
    <t>02.01.01.00</t>
  </si>
  <si>
    <t>03.02.01.20</t>
  </si>
  <si>
    <t>stud.</t>
  </si>
  <si>
    <t>03.02.01.18</t>
  </si>
  <si>
    <t>03.02.01.22</t>
  </si>
  <si>
    <t>03.02.01.23</t>
  </si>
  <si>
    <t>03.01.01.61</t>
  </si>
  <si>
    <t>03.02.01.27</t>
  </si>
  <si>
    <t>03.02.01.25</t>
  </si>
  <si>
    <t>kpl</t>
  </si>
  <si>
    <t>04.04.02.15</t>
  </si>
  <si>
    <t>04.04.02.20</t>
  </si>
  <si>
    <t>04.04.02.12</t>
  </si>
  <si>
    <t>05.03.05.28</t>
  </si>
  <si>
    <t>05.03.13.16</t>
  </si>
  <si>
    <t>Wykonanie ścianek czołowych dla przepustów średnicy 50 cm -ścinki prefabrykowane</t>
  </si>
  <si>
    <t>06.07.10.01</t>
  </si>
  <si>
    <t>Regulacja pionowa studzienek telefonicznych wraz z wymianą pokryw</t>
  </si>
  <si>
    <t>07.06.02.11</t>
  </si>
  <si>
    <t>08.04.01.16</t>
  </si>
  <si>
    <t>Cena jedn.   netto</t>
  </si>
  <si>
    <t>Wartość       netto</t>
  </si>
  <si>
    <t>Zestawienie zbiorcze skrzyżowań i zjazdów str.lewa</t>
  </si>
  <si>
    <t>lp</t>
  </si>
  <si>
    <t>Lokalizacja</t>
  </si>
  <si>
    <t>rodzaj zdarzenia</t>
  </si>
  <si>
    <t>rodzaj nawierzchni</t>
  </si>
  <si>
    <t>szer.</t>
  </si>
  <si>
    <t>dł</t>
  </si>
  <si>
    <t>łuki</t>
  </si>
  <si>
    <t>pow.</t>
  </si>
  <si>
    <t>Przepust fi 50cm</t>
  </si>
  <si>
    <t>Ścianki czołowe</t>
  </si>
  <si>
    <t>szt</t>
  </si>
  <si>
    <t>tłuczeń</t>
  </si>
  <si>
    <t>zjazd</t>
  </si>
  <si>
    <t>kostka</t>
  </si>
  <si>
    <t>zjazdy dodatkowe</t>
  </si>
  <si>
    <t>Razem</t>
  </si>
  <si>
    <t>w tym zjazdy z kostki [m2]</t>
  </si>
  <si>
    <t>w tym zjazdy z tłucznia(kruszywa łamanego) [m2]</t>
  </si>
  <si>
    <t>w tym zjazdy i skrzyżowania z B/A [m2]</t>
  </si>
  <si>
    <t>poz ostatnie dot.wykonania zjazdów w sytuacjach nieprzewidzianych</t>
  </si>
  <si>
    <t>Zestawienie zbiorcze Skrzyżowań i zjazdów str.prawa</t>
  </si>
  <si>
    <t>Przepust fi 60cm</t>
  </si>
  <si>
    <t>Zestawienie chodników strona lewa - bez zjazdów</t>
  </si>
  <si>
    <t>krawężnik 20x30</t>
  </si>
  <si>
    <t>ława pod krawężnik 15x30</t>
  </si>
  <si>
    <t>ława pod krawężnik 20x30</t>
  </si>
  <si>
    <t>obrzeże 6x20</t>
  </si>
  <si>
    <t>strona lewa</t>
  </si>
  <si>
    <t>dł.wg kilometraża</t>
  </si>
  <si>
    <t>dł. bez zjazdów</t>
  </si>
  <si>
    <t>szer</t>
  </si>
  <si>
    <t>średnia szer.</t>
  </si>
  <si>
    <t>pow. bez zjazdów</t>
  </si>
  <si>
    <t>V=0,06  m3/m</t>
  </si>
  <si>
    <t>V=0,083  m3/m</t>
  </si>
  <si>
    <t>od m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</si>
  <si>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</si>
  <si>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</si>
  <si>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sytuacje nieprzew.</t>
  </si>
  <si>
    <t xml:space="preserve">Razem </t>
  </si>
  <si>
    <t>Zestawienie chodników strona prawa bez zjazdów</t>
  </si>
  <si>
    <t>krawężnik 15x30</t>
  </si>
  <si>
    <t>strona prawa</t>
  </si>
  <si>
    <t>Zestawienie ścieku przykrawężnikowego z kostki Holland</t>
  </si>
  <si>
    <t>do m</t>
  </si>
  <si>
    <t>dł [m]</t>
  </si>
  <si>
    <t>szer [m]</t>
  </si>
  <si>
    <r>
      <t>pow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</si>
  <si>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s t r o n a  p r a w a</t>
  </si>
  <si>
    <t>Razem str.prawa</t>
  </si>
  <si>
    <t>s t r o n a  l e w a</t>
  </si>
  <si>
    <t>Razem str.lewa</t>
  </si>
  <si>
    <t>Ogółem ściek z kostki Holland</t>
  </si>
  <si>
    <t xml:space="preserve">Zestawienie studzienek wlotowych i studni rewizyjnych </t>
  </si>
  <si>
    <t>lokalizacja</t>
  </si>
  <si>
    <t>str.</t>
  </si>
  <si>
    <t xml:space="preserve">Wykonanie studni przelotowej   Ø 1500  </t>
  </si>
  <si>
    <t>Ściek podchodnikowy</t>
  </si>
  <si>
    <r>
      <t>kolektor Ø</t>
    </r>
    <r>
      <rPr>
        <sz val="7.2"/>
        <rFont val="Arial"/>
        <family val="2"/>
        <charset val="238"/>
      </rPr>
      <t xml:space="preserve"> 800 (SN8) PP </t>
    </r>
  </si>
  <si>
    <r>
      <t>kolektor Ø</t>
    </r>
    <r>
      <rPr>
        <sz val="7.2"/>
        <rFont val="Arial"/>
        <family val="2"/>
        <charset val="238"/>
      </rPr>
      <t xml:space="preserve"> 315 (SN8) PP</t>
    </r>
  </si>
  <si>
    <t>kolektor Ø 315 PVC-U S 315/9,2</t>
  </si>
  <si>
    <t>kolektor Ø 250 PVC-U S 250/7,3</t>
  </si>
  <si>
    <t>przykanalik Ø 200 PVC-U S 200/5,9</t>
  </si>
  <si>
    <t>bez obudowy</t>
  </si>
  <si>
    <t>w obud. lub PP</t>
  </si>
  <si>
    <t>bez obud.</t>
  </si>
  <si>
    <t>P</t>
  </si>
  <si>
    <t>L</t>
  </si>
  <si>
    <t>Zestawienie powierzchni jezdni warstawa ścieralna</t>
  </si>
  <si>
    <t>Nawierzchia w-wa ścieralna</t>
  </si>
  <si>
    <t>Powierzchnia ścieku przykrawężnikowego [m2]</t>
  </si>
  <si>
    <t>Ogółem warstwa ścieralna bez powierzchni ścieku przykrawężnikowego [m2]</t>
  </si>
  <si>
    <t>Zestawienie powierzchni jezdni warstawa wiążąca</t>
  </si>
  <si>
    <t xml:space="preserve">Ustawienie obrzeży betonowych o wymiarach 20x6 cm na podsypce cem-piaskowej z wypełnieniem spoin piaskiem  obmiar wg tabeli </t>
  </si>
  <si>
    <t>łącznie pow.</t>
  </si>
  <si>
    <t>Brzozy</t>
  </si>
  <si>
    <t>Koninijska</t>
  </si>
  <si>
    <t>Partyzantów</t>
  </si>
  <si>
    <t>Ułożenie warstwy ścieralnej z betonu asfaltowego AC 11W  gr. 4cm wraz z dostarczeniem masy z miejsca wytworzenia obmiar wg. tab.</t>
  </si>
  <si>
    <t>Ułożenie kostki betonowej kolorowej gr.6cm na podsypce cem.piaskowej na chodnikach  obmiar wg tabeli</t>
  </si>
  <si>
    <t>Kanonijska</t>
  </si>
  <si>
    <t>chodniki z kostki gr.6cm  kolorowej</t>
  </si>
  <si>
    <t>skrzyż. Gmina</t>
  </si>
  <si>
    <t xml:space="preserve">krawężnik 15x30 </t>
  </si>
  <si>
    <t>ulica</t>
  </si>
  <si>
    <t>Ułożenie kostki betonowej szarej gr.8cm na podsypce cem-piaskowej gr.3cm na zatokach postojowych</t>
  </si>
  <si>
    <t>Krótka</t>
  </si>
  <si>
    <t>łuki i skrzyż</t>
  </si>
  <si>
    <t>Wyznaczenie trasy drogi oraz punktów wysokościowych wraz z wykonaniem inwentaryzacji powykonawczej</t>
  </si>
  <si>
    <t>syt. Nieprzewidziane</t>
  </si>
  <si>
    <t>Regulacja pionowa studzienek kanalizacji sanitarnej wraz z wymianą pokryw</t>
  </si>
  <si>
    <t>doj. Do Myjni</t>
  </si>
  <si>
    <t>Nawierzchia w-wa wiażąca</t>
  </si>
  <si>
    <t>Wykonanie stabilizacji z piasku stabilizowanego cementem gr.12cm Rm=2,5MPa pod nawierzchnie z kostki na zatokach postojowych oraz ul. Partyzantów</t>
  </si>
  <si>
    <t>Wykonanie ścieków podchodnikowych</t>
  </si>
  <si>
    <t>01.02.01.15</t>
  </si>
  <si>
    <t>Karczowanie pni wraz z utylizacją średnica 100cm</t>
  </si>
  <si>
    <t>Wykonanie warstwy profilującej z betonu asfaltowego średnio 50kg/m2</t>
  </si>
  <si>
    <t>Studnia PP 400 D-400</t>
  </si>
  <si>
    <t>L+P</t>
  </si>
  <si>
    <t xml:space="preserve">Frezowanie wyrównawcze nawierzchni bitumicznej o grub do 8cm z wywozem materiału z rozbiórki zgodnie z warunkami umowy </t>
  </si>
  <si>
    <t>Ułożenie kostki betonowej kolor grafitowy typ starobruk gr.8cm na podsypce cem.piaskowej na ul. Paryzantów od km 0+016 do km 0+167 szer.3,5m</t>
  </si>
  <si>
    <t>Umocnienie skarp rowów płytami betonowymi ażurowymi ECO 40x60x10cm na podsypce cem-piaskowej gr 5cm ul. Kanonijska</t>
  </si>
  <si>
    <t xml:space="preserve">Wykonanie obudowy wlotów (wylotów) prefabrykowanych przepustów drogowych rurowych - naprawy uszkodzonych elementów </t>
  </si>
  <si>
    <t xml:space="preserve">Wykonanie studzienek wlotowych  kanalizacji deszczowej kl C-250 w wpustem krawężnikowym wraz z kpl robót rozbiórkowych i odtworzeniem konstr. nawierzchni obmiar wg tabeli </t>
  </si>
  <si>
    <t>Wykonanie podbudowy z kruszywa 0-16mm pod nawierzchnię z chodnika gr. po zagęszczeniu 12cm  wraz z korytowaniem i zagęszczeniem podłoża</t>
  </si>
  <si>
    <t>Ułożenie warstwy wiążącej z betonu asfaltowego AC 11W  gr. 4cm wraz z dostarczeniem masy z miejsca wytworzenia obmiar wg. tab.</t>
  </si>
  <si>
    <t>Wymiana istniejacych znakow drogowych wg zestawienia (demontaż+ustawienie nowych wraz z słupkami)</t>
  </si>
  <si>
    <t>Ułożenie kostki betonowej szarej gr.8cm na podsypce cem-piaskowej gr.5cm na zjazdach obmiar wg tabeli</t>
  </si>
  <si>
    <t>Regulacja pionowa studni kanalizacji deszczowej ul. Brzozy km 0+098SL</t>
  </si>
  <si>
    <t>Demontaż studni fi 100 w km 0+146SL ul Brzozy</t>
  </si>
  <si>
    <t>0+120</t>
  </si>
  <si>
    <t>rz.góra</t>
  </si>
  <si>
    <t>wys.</t>
  </si>
  <si>
    <r>
      <t xml:space="preserve">właz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600 kl C-250</t>
    </r>
  </si>
  <si>
    <t>lokalizacja w chodniku strona lewa</t>
  </si>
  <si>
    <r>
      <t xml:space="preserve">studnia przlotowa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1200 kineta 500mm </t>
    </r>
  </si>
  <si>
    <t>lokalizacja w zatoce strona lewa</t>
  </si>
  <si>
    <t>0+172</t>
  </si>
  <si>
    <t>0+157</t>
  </si>
  <si>
    <t>rz.dół  wylot</t>
  </si>
  <si>
    <t>Lokalizacja studni kd w ciągu ul. Brzozy - do przebudowy</t>
  </si>
  <si>
    <t>Lokalizacja studni kd w ciągu ul. Kanonijskiej - do przebudowy</t>
  </si>
  <si>
    <t>właz żeliwny kl D-400</t>
  </si>
  <si>
    <t>0+305</t>
  </si>
  <si>
    <t>lokalizacja w jezdni</t>
  </si>
  <si>
    <t>0+262</t>
  </si>
  <si>
    <t>0+248</t>
  </si>
  <si>
    <t>lokalizacja w chodniku strona prawa</t>
  </si>
  <si>
    <t>0+215</t>
  </si>
  <si>
    <t>0+195</t>
  </si>
  <si>
    <r>
      <t xml:space="preserve">studnia przyłączeniowa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400 kineta wlot 2 x DN 200 wylot DN 315 PP niewłazowa</t>
    </r>
  </si>
  <si>
    <r>
      <t xml:space="preserve">studnia zbiorcza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1500 kineta wlot/ wylot DN800mm </t>
    </r>
  </si>
  <si>
    <r>
      <t xml:space="preserve">studnia przelotowa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1500 wlot DN 315, DN 500 wylot DN 800mm </t>
    </r>
  </si>
  <si>
    <r>
      <t xml:space="preserve">studnia przelotowa  </t>
    </r>
    <r>
      <rPr>
        <sz val="10"/>
        <rFont val="Czcionka tekstu podstawowego"/>
        <charset val="238"/>
      </rPr>
      <t>Ø</t>
    </r>
    <r>
      <rPr>
        <sz val="10"/>
        <rFont val="Arial"/>
        <family val="2"/>
        <charset val="238"/>
      </rPr>
      <t>400 kineta  wlot/ wylot DN 315mm  PP niewłazowa</t>
    </r>
  </si>
  <si>
    <r>
      <t xml:space="preserve">studnia przelotowa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1200 kineta wlot / wylot DN 800mm </t>
    </r>
  </si>
  <si>
    <r>
      <t xml:space="preserve">studnia przelotowa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1500 wlot DN 500, DN 800 wylot DN 800mm </t>
    </r>
  </si>
  <si>
    <r>
      <t xml:space="preserve">studnia przlotowa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1200 kineta DN 500mm </t>
    </r>
  </si>
  <si>
    <t>0+266</t>
  </si>
  <si>
    <r>
      <t xml:space="preserve">studnia przelotowa betonowa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1200 kineta wlot / wylot DN 500mm </t>
    </r>
  </si>
  <si>
    <t>pobocze strona lewa</t>
  </si>
  <si>
    <t>właz żeliwny kl B-125</t>
  </si>
  <si>
    <r>
      <t xml:space="preserve">Wykonanie studzienki wlotowej  PP </t>
    </r>
    <r>
      <rPr>
        <sz val="8"/>
        <rFont val="Czcionka tekstu podstawowego"/>
        <charset val="238"/>
      </rPr>
      <t>Ø</t>
    </r>
    <r>
      <rPr>
        <sz val="8"/>
        <rFont val="Arial"/>
        <family val="2"/>
        <charset val="238"/>
      </rPr>
      <t xml:space="preserve"> 500 z wpustem krawężnikowym C-250kN</t>
    </r>
  </si>
  <si>
    <t>0+143</t>
  </si>
  <si>
    <r>
      <t xml:space="preserve">Wykonanie studzienki wlotowej  PP </t>
    </r>
    <r>
      <rPr>
        <sz val="8"/>
        <rFont val="Czcionka tekstu podstawowego"/>
        <charset val="238"/>
      </rPr>
      <t>Ø</t>
    </r>
    <r>
      <rPr>
        <sz val="8"/>
        <rFont val="Arial"/>
        <family val="2"/>
        <charset val="238"/>
      </rPr>
      <t xml:space="preserve"> 500 z wpustem C-250kN</t>
    </r>
  </si>
  <si>
    <t xml:space="preserve">Wykonanie studni przelotowej betonowej  Ø 1200 </t>
  </si>
  <si>
    <r>
      <t>kolektor Ø</t>
    </r>
    <r>
      <rPr>
        <sz val="7.2"/>
        <rFont val="Arial"/>
        <family val="2"/>
        <charset val="238"/>
      </rPr>
      <t xml:space="preserve"> 500 (SN8) </t>
    </r>
  </si>
  <si>
    <t>6.4</t>
  </si>
  <si>
    <t>6.6</t>
  </si>
  <si>
    <t>Mechaniczna rozbiórka nawierzchni bitumicznej o gr. do 13 cm z wywozem materiału z zagospodarowaniem materiału zgodnie z przepisami o gospodarce odpadami</t>
  </si>
  <si>
    <t>zatoki postojowe</t>
  </si>
  <si>
    <t>w tym:</t>
  </si>
  <si>
    <t>zjazdy</t>
  </si>
  <si>
    <t xml:space="preserve">Roboty ziemne związane z wykonaniem rowów </t>
  </si>
  <si>
    <t>w tym</t>
  </si>
  <si>
    <t>ul.Kanonijska SL  114*0,5m3/mb</t>
  </si>
  <si>
    <t>ul.Kanonijska SP  61*0,5m3/mb+135*0,3m3/mb</t>
  </si>
  <si>
    <r>
      <t>Wykonanie studni rewizyjnych i przelotowych betonowych średnicy</t>
    </r>
    <r>
      <rPr>
        <sz val="10"/>
        <rFont val="Arial"/>
        <family val="2"/>
        <charset val="238"/>
      </rPr>
      <t xml:space="preserve"> 1200 mm wraz z demontażem istniejącej i kpl. robót odtworzeniowych nawierzchni obmiar wg tabeli</t>
    </r>
  </si>
  <si>
    <t>Studnie rewizyjne z kręgów betonowych o śr. 1500 mm wykonywane metodą studniarską w gruncie kat.III  wraz z wykonaniem robót ziemnych  z pokrywą żeliwną fi 600 kl.C-250kN wraz z demontażem istniejącej i kpl robót odtworzeniowych nawierzchni- obmiar wg tabeli</t>
  </si>
  <si>
    <t>Wykonanie przykanalika z rur PVC-U kl. S 200 łączonych na wcisk obmiar wg tabeli  wraz z kompletem robót rozbiórkowych i odtworzeniem konstrukcji nawierzchni.</t>
  </si>
  <si>
    <t xml:space="preserve">Wykonanie kolektora PP  800 SN 8 wraz z kompletem robót rozbiórkowych, ziemnych i odbudową konstrukcji nawierzchni </t>
  </si>
  <si>
    <t>Wykonanie kolektora z rur PP 315 SN8 wraz z kompletem robót rozbiórkowych, ziemnych oraz odtworzeniem konstrukcji nawierzchni</t>
  </si>
  <si>
    <t>ul. Kanonijska km 0+355 SL</t>
  </si>
  <si>
    <t>ul. Kanonijska km 0+453 SL</t>
  </si>
  <si>
    <t>ul. Kanonijska km 0+420 SL</t>
  </si>
  <si>
    <t xml:space="preserve">przepust ul.Kanonijska km 0+492 </t>
  </si>
  <si>
    <t>naprawy drobnych elementów betonowych</t>
  </si>
  <si>
    <t>ul.Partyzantów</t>
  </si>
  <si>
    <t>Uzupełnienie poboczy mieszanką kamienia łamanego 0-31,5mm  na szer.1,25m gr. 10cm. wraz z zagęszczeniem. od km 0+393 do km 0+493 ul. Kanonijska oraz 50m na włączeniach</t>
  </si>
  <si>
    <t xml:space="preserve">Ułożenie ścieków drogowych korytkowych 50x50x15 cm na podsypce cem.piaskowej  </t>
  </si>
  <si>
    <t>ul. Kanonijska SL - 110*1,6+20</t>
  </si>
  <si>
    <t xml:space="preserve">ul. Kanonijska SP </t>
  </si>
  <si>
    <t>ul. Kanonijska SP -20</t>
  </si>
  <si>
    <t xml:space="preserve">Wykonanie przepustów pod zjazdami z rur PP 500 SN8 wraz z wykonaniem ławy z kruszywa łamanego 0-16mm gr.15cm szer.40cm </t>
  </si>
  <si>
    <t>Wykonanie regulacji wysokościowej zjazdów z kostki betonowej oraz kamiennej</t>
  </si>
  <si>
    <t>08.02.02.20</t>
  </si>
  <si>
    <t>Przestawienie hydrantów kolidujących z chodnikiem</t>
  </si>
  <si>
    <t>ul.Kanonijska</t>
  </si>
  <si>
    <t>ul.Kanonijska przy skrzyżowaniu w 0+092 2szt</t>
  </si>
  <si>
    <t>ul.Kanonijska km 0+498</t>
  </si>
  <si>
    <t>Mechaniczne malowanie linii na skrzyżowaniach i przejściach dla pieszych farbą chlorokauczukową  P-10 i P-14</t>
  </si>
  <si>
    <t>Ustawienie  proj. nowych znaków drogowych zakazu, nakazu, ostrzegawczych, informacyjnych o powierzchni do 0.3 m2 znaki D-6 i  D-18 wraz ze słupkami</t>
  </si>
  <si>
    <t>znaki D-6 (600x600) folia typ 2</t>
  </si>
  <si>
    <t>znaki D-18 (600x600) folia typ 1</t>
  </si>
  <si>
    <t>znaki A-17 (900mm) folia typ 1 ul. Kanonijska</t>
  </si>
  <si>
    <t>znaki A-7 (900mm) folia typ 2 ul. Krótka , Brzozy i Kanonijska</t>
  </si>
  <si>
    <t>Znaki D-1 (600x600) folia typ 1 ul.Brzozy i Kanonijska</t>
  </si>
  <si>
    <t>Tabliczki T-6 (600x600) ul.Brzozy i Kanonijska</t>
  </si>
  <si>
    <t>Znak C-4 (600mm) folia typ 1 ul.Brzozy</t>
  </si>
  <si>
    <t>Znak D-3 (600x600mm) folia typ 1 ul.Krótka</t>
  </si>
  <si>
    <t>Znak A-20 (750mm) folia typ 1 ul. Brzozy</t>
  </si>
  <si>
    <t xml:space="preserve">Znak B-18 (600mm) folia typ 1 ul. Kanonijska i Brzozy + tabliczka T </t>
  </si>
  <si>
    <t>Ustawienie poręczy ochronnych sztywnych  U-12a km 0+195 SP ul.Kanonijska</t>
  </si>
  <si>
    <t>ul. P.P.Brzozy SP  50*5</t>
  </si>
  <si>
    <t>ul. Krótka SP 30*11</t>
  </si>
  <si>
    <t>ul.Partyzantów SL 50*5</t>
  </si>
  <si>
    <t>Ustawienie krawężników betonowych o wymiarach 15x30 cm na podsypce cementowo-piaskowej wraz z wykonaniem ławy betonowej z oporem V=0,06m3/mb na ławie na podsypce piaskowej 12cm w tym na zjazdach krawężniki najazdowe oraz skośne.</t>
  </si>
  <si>
    <t>Ułożenie ścieków ulicznych z kostki brukowej betonowej typu Holland 20x10x8 układane w dwóch rzędach  na ławie betonowej i podsypce piaskowej 12cm piaskowej</t>
  </si>
  <si>
    <t>ul. Kanonijska  SL km 0+004</t>
  </si>
  <si>
    <t>ul.Kanonijska SP km 0+187</t>
  </si>
  <si>
    <t>ul.Krótka</t>
  </si>
  <si>
    <t>ul.Brzozy</t>
  </si>
  <si>
    <t>Wymiana elementów oświetlenia ulicznego oprawy dla lamp typu LED wraz z wysięgnikami</t>
  </si>
  <si>
    <t>08.30.01.01</t>
  </si>
  <si>
    <t>08.30.02.01</t>
  </si>
  <si>
    <t>03.30.01.01</t>
  </si>
  <si>
    <t>1.2</t>
  </si>
  <si>
    <t>1.13</t>
  </si>
  <si>
    <t>3.5</t>
  </si>
  <si>
    <t>3.7</t>
  </si>
  <si>
    <t>3.11</t>
  </si>
  <si>
    <t>01.02.04.40</t>
  </si>
  <si>
    <t>Roboty remontowe - cięcie piłą nawierzchni bitumicznych na gł. 6-10 cm dla korekt łuków</t>
  </si>
  <si>
    <t>zjazdy lewe</t>
  </si>
  <si>
    <t>zjazdy prawe</t>
  </si>
  <si>
    <t>korekty łuków</t>
  </si>
  <si>
    <t>korekty niwelety</t>
  </si>
  <si>
    <t>Wykonanie podbudowy z kruszywa łamanego 0-31,5mm gr.15cm po zagęszczeniu na zjazdach o nawierzchni z kostki i łukach</t>
  </si>
  <si>
    <t>4.1</t>
  </si>
  <si>
    <t>5.2</t>
  </si>
  <si>
    <t>7.1</t>
  </si>
  <si>
    <t xml:space="preserve">Regulacja pionowa studzienek dla zaworów wodociągowych </t>
  </si>
  <si>
    <t xml:space="preserve">Mechaniczne rozebranie podbudowy z kruszywa kamiennego o grubości do 15 cm  </t>
  </si>
  <si>
    <t>Wykonanie studni rewizyjnych i przelotowych z PP o śr. 400 mm z pokrywą kl.D-400kN z kpl. robót odtworzeniowych nawierzchni  - obmiar wg tabeli</t>
  </si>
  <si>
    <t>Wykonanie studzienek wlotowych  kanalizacji deszczowej  fi 500 z PP z wpustem kl C-250  wraz z wykonaniem kompletu robót rozbiórkowych i odtworzeniem konstr.  nawierzchni  wg tabeli</t>
  </si>
  <si>
    <t xml:space="preserve">Wykonanie kolektora PP  500 SN 8 wraz z kompletem roót rozbiórkowych, ziemnych i odbudową konstrukcji nawierzchni </t>
  </si>
  <si>
    <t>4.2</t>
  </si>
  <si>
    <t xml:space="preserve">Przebudowa 2 słupów oświetlenia ulicznego wraz z niezbędnym odcinkiem linii energetycznej napowietrznej  wraz z uzgodnieniem w ZE </t>
  </si>
  <si>
    <t>Pieczęć i podpis oferenta</t>
  </si>
</sst>
</file>

<file path=xl/styles.xml><?xml version="1.0" encoding="utf-8"?>
<styleSheet xmlns="http://schemas.openxmlformats.org/spreadsheetml/2006/main">
  <numFmts count="4">
    <numFmt numFmtId="164" formatCode="#,##0.00\ &quot;zł&quot;"/>
    <numFmt numFmtId="165" formatCode="0.0"/>
    <numFmt numFmtId="166" formatCode="#,##0.0"/>
    <numFmt numFmtId="167" formatCode="#,##0.000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30"/>
      <name val="Arial"/>
      <family val="2"/>
      <charset val="238"/>
    </font>
    <font>
      <b/>
      <sz val="9"/>
      <name val="Arial"/>
      <family val="2"/>
      <charset val="238"/>
    </font>
    <font>
      <i/>
      <u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7.2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8"/>
      <name val="Czcionka tekstu podstawowego"/>
      <charset val="238"/>
    </font>
    <font>
      <sz val="10"/>
      <name val="Symbol"/>
      <family val="1"/>
      <charset val="2"/>
    </font>
    <font>
      <sz val="10"/>
      <name val="Czcionka tekstu podstawowego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65" fontId="17" fillId="0" borderId="2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" fontId="0" fillId="0" borderId="0" xfId="0" applyNumberFormat="1"/>
    <xf numFmtId="0" fontId="7" fillId="0" borderId="37" xfId="0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65" fontId="16" fillId="0" borderId="38" xfId="0" applyNumberFormat="1" applyFont="1" applyBorder="1" applyAlignment="1">
      <alignment horizontal="center" vertical="center" wrapText="1"/>
    </xf>
    <xf numFmtId="165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6" fillId="0" borderId="20" xfId="0" applyFont="1" applyBorder="1"/>
    <xf numFmtId="3" fontId="6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2" fillId="0" borderId="20" xfId="0" applyNumberFormat="1" applyFont="1" applyBorder="1" applyAlignment="1" applyProtection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0" fillId="0" borderId="16" xfId="0" applyNumberFormat="1" applyBorder="1"/>
    <xf numFmtId="4" fontId="0" fillId="0" borderId="2" xfId="0" applyNumberFormat="1" applyBorder="1"/>
    <xf numFmtId="0" fontId="0" fillId="0" borderId="20" xfId="0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4" fontId="23" fillId="0" borderId="20" xfId="0" applyNumberFormat="1" applyFont="1" applyBorder="1" applyAlignment="1">
      <alignment horizontal="center" vertical="center" wrapText="1"/>
    </xf>
    <xf numFmtId="0" fontId="1" fillId="0" borderId="0" xfId="0" applyFont="1"/>
    <xf numFmtId="166" fontId="23" fillId="0" borderId="20" xfId="0" applyNumberFormat="1" applyFont="1" applyBorder="1" applyAlignment="1">
      <alignment horizontal="center" vertical="center" wrapText="1"/>
    </xf>
    <xf numFmtId="165" fontId="24" fillId="0" borderId="2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16" xfId="0" applyFont="1" applyBorder="1"/>
    <xf numFmtId="0" fontId="0" fillId="0" borderId="16" xfId="0" applyBorder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18" xfId="0" applyBorder="1"/>
    <xf numFmtId="0" fontId="0" fillId="0" borderId="40" xfId="0" applyBorder="1"/>
    <xf numFmtId="0" fontId="0" fillId="0" borderId="13" xfId="0" applyBorder="1"/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/>
    <xf numFmtId="0" fontId="1" fillId="0" borderId="40" xfId="0" applyFont="1" applyBorder="1"/>
    <xf numFmtId="4" fontId="1" fillId="0" borderId="2" xfId="0" applyNumberFormat="1" applyFont="1" applyBorder="1"/>
    <xf numFmtId="4" fontId="1" fillId="0" borderId="16" xfId="0" applyNumberFormat="1" applyFont="1" applyBorder="1"/>
    <xf numFmtId="0" fontId="1" fillId="0" borderId="18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13" xfId="0" applyFont="1" applyBorder="1"/>
    <xf numFmtId="0" fontId="1" fillId="0" borderId="57" xfId="0" applyFont="1" applyBorder="1"/>
    <xf numFmtId="0" fontId="1" fillId="0" borderId="58" xfId="0" applyFont="1" applyBorder="1"/>
    <xf numFmtId="0" fontId="0" fillId="0" borderId="0" xfId="0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right" vertical="center"/>
    </xf>
    <xf numFmtId="0" fontId="8" fillId="0" borderId="27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4" fontId="1" fillId="0" borderId="1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4" fontId="1" fillId="0" borderId="16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6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" fontId="6" fillId="0" borderId="63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7" fontId="1" fillId="0" borderId="13" xfId="0" applyNumberFormat="1" applyFont="1" applyBorder="1" applyAlignment="1" applyProtection="1">
      <alignment horizontal="center" vertical="center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4" fontId="1" fillId="0" borderId="67" xfId="0" applyNumberFormat="1" applyFont="1" applyBorder="1" applyAlignment="1" applyProtection="1">
      <alignment horizontal="center" vertical="center"/>
      <protection locked="0"/>
    </xf>
    <xf numFmtId="4" fontId="1" fillId="0" borderId="63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 wrapText="1"/>
    </xf>
    <xf numFmtId="166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166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166" fontId="7" fillId="0" borderId="21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0" fillId="0" borderId="49" xfId="0" applyNumberFormat="1" applyBorder="1" applyAlignment="1">
      <alignment horizontal="center" vertical="center" wrapText="1"/>
    </xf>
    <xf numFmtId="166" fontId="0" fillId="0" borderId="50" xfId="0" applyNumberFormat="1" applyBorder="1" applyAlignment="1">
      <alignment horizontal="center" vertical="center" wrapText="1"/>
    </xf>
    <xf numFmtId="166" fontId="0" fillId="0" borderId="51" xfId="0" applyNumberForma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166" fontId="6" fillId="0" borderId="43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 applyProtection="1">
      <alignment horizontal="center" vertical="center" wrapText="1"/>
    </xf>
    <xf numFmtId="0" fontId="2" fillId="0" borderId="35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4" fontId="21" fillId="0" borderId="7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6</xdr:row>
      <xdr:rowOff>57149</xdr:rowOff>
    </xdr:from>
    <xdr:to>
      <xdr:col>11</xdr:col>
      <xdr:colOff>352425</xdr:colOff>
      <xdr:row>10</xdr:row>
      <xdr:rowOff>111632</xdr:rowOff>
    </xdr:to>
    <xdr:sp macro="" textlink="">
      <xdr:nvSpPr>
        <xdr:cNvPr id="3" name="Strzałka w dół 2"/>
        <xdr:cNvSpPr/>
      </xdr:nvSpPr>
      <xdr:spPr>
        <a:xfrm>
          <a:off x="6248400" y="1228724"/>
          <a:ext cx="180975" cy="702183"/>
        </a:xfrm>
        <a:prstGeom prst="downArrow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interia.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Zeros="0" tabSelected="1" view="pageLayout" zoomScaleNormal="100" workbookViewId="0">
      <selection activeCell="G5" sqref="G5"/>
    </sheetView>
  </sheetViews>
  <sheetFormatPr defaultRowHeight="12.75"/>
  <cols>
    <col min="1" max="1" width="1.7109375" style="329" customWidth="1"/>
    <col min="2" max="2" width="6" style="329" customWidth="1"/>
    <col min="3" max="3" width="11.140625" style="330" customWidth="1"/>
    <col min="4" max="4" width="38.28515625" style="331" customWidth="1"/>
    <col min="5" max="5" width="5.42578125" style="329" customWidth="1"/>
    <col min="6" max="6" width="9.140625" style="332"/>
    <col min="7" max="7" width="10.42578125" style="329" customWidth="1"/>
    <col min="8" max="8" width="13.7109375" style="333" customWidth="1"/>
    <col min="9" max="16384" width="9.140625" style="334"/>
  </cols>
  <sheetData>
    <row r="1" spans="2:8" ht="13.5" thickBot="1"/>
    <row r="2" spans="2:8" ht="27" thickTop="1" thickBot="1">
      <c r="B2" s="335" t="str">
        <f>PRZEDMIAR!B2</f>
        <v>Lp.</v>
      </c>
      <c r="C2" s="217" t="str">
        <f>PRZEDMIAR!C2</f>
        <v>Nr spec.techn.</v>
      </c>
      <c r="D2" s="217" t="str">
        <f>PRZEDMIAR!D2</f>
        <v>Opis</v>
      </c>
      <c r="E2" s="217" t="str">
        <f>PRZEDMIAR!E2</f>
        <v>Jedn.obm.</v>
      </c>
      <c r="F2" s="336" t="str">
        <f>PRZEDMIAR!F2</f>
        <v>Ilość</v>
      </c>
      <c r="G2" s="217" t="s">
        <v>124</v>
      </c>
      <c r="H2" s="218" t="s">
        <v>125</v>
      </c>
    </row>
    <row r="3" spans="2:8" ht="21" customHeight="1" thickTop="1">
      <c r="B3" s="337">
        <f>PRZEDMIAR!B3</f>
        <v>1</v>
      </c>
      <c r="C3" s="338" t="str">
        <f>PRZEDMIAR!C3</f>
        <v>ROBOTY PRZYGOTOWAWCZE 01.00.00. CPV 45111200-0</v>
      </c>
      <c r="D3" s="179"/>
      <c r="E3" s="179"/>
      <c r="F3" s="179"/>
      <c r="G3" s="179"/>
      <c r="H3" s="184"/>
    </row>
    <row r="4" spans="2:8" ht="48" customHeight="1">
      <c r="B4" s="219" t="str">
        <f>PRZEDMIAR!B4</f>
        <v>1.1</v>
      </c>
      <c r="C4" s="169" t="str">
        <f>PRZEDMIAR!C4</f>
        <v>01.01.01.22</v>
      </c>
      <c r="D4" s="169" t="s">
        <v>227</v>
      </c>
      <c r="E4" s="220" t="str">
        <f>PRZEDMIAR!E4</f>
        <v>km</v>
      </c>
      <c r="F4" s="221">
        <f>PRZEDMIAR!F4</f>
        <v>0.92900000000000005</v>
      </c>
      <c r="G4" s="222"/>
      <c r="H4" s="223">
        <f t="shared" ref="H4:H16" si="0">F4*G4</f>
        <v>0</v>
      </c>
    </row>
    <row r="5" spans="2:8" ht="38.25">
      <c r="B5" s="219" t="str">
        <f>PRZEDMIAR!B5</f>
        <v>1.2</v>
      </c>
      <c r="C5" s="169" t="str">
        <f>PRZEDMIAR!C5</f>
        <v>01.02.04.10</v>
      </c>
      <c r="D5" s="169" t="str">
        <f>PRZEDMIAR!D5</f>
        <v>Rozebranie istniejacych przelotowych części przepustów pod zjazdami i skrzyżowaniami</v>
      </c>
      <c r="E5" s="220" t="str">
        <f>PRZEDMIAR!E5</f>
        <v>m</v>
      </c>
      <c r="F5" s="175">
        <f>PRZEDMIAR!F5</f>
        <v>30</v>
      </c>
      <c r="G5" s="185"/>
      <c r="H5" s="186"/>
    </row>
    <row r="6" spans="2:8" ht="35.25" customHeight="1">
      <c r="B6" s="219" t="str">
        <f>PRZEDMIAR!B6</f>
        <v>1.3</v>
      </c>
      <c r="C6" s="169" t="str">
        <f>PRZEDMIAR!C6</f>
        <v>01.02.01.15</v>
      </c>
      <c r="D6" s="169" t="str">
        <f>PRZEDMIAR!D6</f>
        <v>Karczowanie pni wraz z utylizacją średnica 100cm</v>
      </c>
      <c r="E6" s="220" t="str">
        <f>PRZEDMIAR!E6</f>
        <v>szt.</v>
      </c>
      <c r="F6" s="175">
        <f>PRZEDMIAR!F6</f>
        <v>1</v>
      </c>
      <c r="G6" s="185"/>
      <c r="H6" s="186">
        <f t="shared" si="0"/>
        <v>0</v>
      </c>
    </row>
    <row r="7" spans="2:8" ht="70.5" customHeight="1">
      <c r="B7" s="219" t="str">
        <f>PRZEDMIAR!B7</f>
        <v>1.4</v>
      </c>
      <c r="C7" s="169" t="str">
        <f>PRZEDMIAR!C7</f>
        <v>01.02.04.13</v>
      </c>
      <c r="D7" s="169" t="str">
        <f>PRZEDMIAR!D7</f>
        <v>Mechaniczna rozbiórka nawierzchni bitumicznej o gr. do 13 cm z wywozem materiału z zagospodarowaniem materiału zgodnie z przepisami o gospodarce odpadami</v>
      </c>
      <c r="E7" s="220" t="str">
        <f>PRZEDMIAR!E7</f>
        <v>m2</v>
      </c>
      <c r="F7" s="175">
        <f>PRZEDMIAR!F7</f>
        <v>1358.5</v>
      </c>
      <c r="G7" s="224"/>
      <c r="H7" s="186">
        <f t="shared" si="0"/>
        <v>0</v>
      </c>
    </row>
    <row r="8" spans="2:8" ht="38.25">
      <c r="B8" s="219" t="str">
        <f>PRZEDMIAR!B8</f>
        <v>1.5</v>
      </c>
      <c r="C8" s="169" t="str">
        <f>PRZEDMIAR!C8</f>
        <v>01.02.04.11</v>
      </c>
      <c r="D8" s="169" t="str">
        <f>PRZEDMIAR!D8</f>
        <v xml:space="preserve">Mechaniczne rozebranie podbudowy z kruszywa kamiennego o grubości do 15 cm  </v>
      </c>
      <c r="E8" s="220" t="str">
        <f>PRZEDMIAR!E8</f>
        <v>m2</v>
      </c>
      <c r="F8" s="175">
        <f>PRZEDMIAR!F8</f>
        <v>955</v>
      </c>
      <c r="G8" s="185"/>
      <c r="H8" s="186">
        <f t="shared" si="0"/>
        <v>0</v>
      </c>
    </row>
    <row r="9" spans="2:8" ht="49.5" customHeight="1">
      <c r="B9" s="219" t="str">
        <f>PRZEDMIAR!B12</f>
        <v>1.6</v>
      </c>
      <c r="C9" s="169" t="str">
        <f>PRZEDMIAR!C12</f>
        <v>01.02.04.41</v>
      </c>
      <c r="D9" s="169" t="str">
        <f>PRZEDMIAR!D12</f>
        <v>Rozebranie krawężników betonowych na podsypce piaskowej z wywiezieniem gruzu zgodnie z warunkami umowy</v>
      </c>
      <c r="E9" s="220" t="str">
        <f>PRZEDMIAR!E12</f>
        <v>m</v>
      </c>
      <c r="F9" s="175">
        <f>PRZEDMIAR!F12</f>
        <v>1350</v>
      </c>
      <c r="G9" s="185"/>
      <c r="H9" s="186">
        <f t="shared" si="0"/>
        <v>0</v>
      </c>
    </row>
    <row r="10" spans="2:8" ht="51">
      <c r="B10" s="219" t="str">
        <f>PRZEDMIAR!B13</f>
        <v>1.7</v>
      </c>
      <c r="C10" s="169" t="str">
        <f>PRZEDMIAR!C13</f>
        <v>01.02.04.46</v>
      </c>
      <c r="D10" s="169" t="str">
        <f>PRZEDMIAR!D13</f>
        <v>Rozebranie obrzeży trawnikowych o wymiarach 6x20 cm na podsypce piaskowej wraz z wywiezieniem gruzu zgodnie z warunkami umowy</v>
      </c>
      <c r="E10" s="220" t="str">
        <f>PRZEDMIAR!E13</f>
        <v>m</v>
      </c>
      <c r="F10" s="175">
        <f>PRZEDMIAR!F13</f>
        <v>500</v>
      </c>
      <c r="G10" s="185"/>
      <c r="H10" s="186">
        <f t="shared" si="0"/>
        <v>0</v>
      </c>
    </row>
    <row r="11" spans="2:8" ht="51">
      <c r="B11" s="219" t="str">
        <f>PRZEDMIAR!B14</f>
        <v>1.8</v>
      </c>
      <c r="C11" s="169" t="str">
        <f>PRZEDMIAR!C14</f>
        <v>01.02.04.28</v>
      </c>
      <c r="D11" s="169" t="str">
        <f>PRZEDMIAR!D14</f>
        <v>Rozebranie chodników, zabezpieczenia skarp z płyt betonowych 50x50x7  cm na podsypce piaskowej z wywiezieniem gruzu zgodnie z warunkami umowy.</v>
      </c>
      <c r="E11" s="220" t="str">
        <f>PRZEDMIAR!E14</f>
        <v>m2</v>
      </c>
      <c r="F11" s="175">
        <f>PRZEDMIAR!F14</f>
        <v>705</v>
      </c>
      <c r="G11" s="185"/>
      <c r="H11" s="186">
        <f t="shared" si="0"/>
        <v>0</v>
      </c>
    </row>
    <row r="12" spans="2:8" ht="50.25" customHeight="1">
      <c r="B12" s="219" t="str">
        <f>PRZEDMIAR!B15</f>
        <v>1.9</v>
      </c>
      <c r="C12" s="169" t="str">
        <f>PRZEDMIAR!C15</f>
        <v>01.02.04.29</v>
      </c>
      <c r="D12" s="169" t="str">
        <f>PRZEDMIAR!D15</f>
        <v>Ręczne rozebranie nawierzchni z kostki betonowej z wywiezieniem gruzu zgodnie z warunkami umowy</v>
      </c>
      <c r="E12" s="220" t="str">
        <f>PRZEDMIAR!E15</f>
        <v>m2</v>
      </c>
      <c r="F12" s="175">
        <f>PRZEDMIAR!F15</f>
        <v>440</v>
      </c>
      <c r="G12" s="224"/>
      <c r="H12" s="186">
        <f t="shared" si="0"/>
        <v>0</v>
      </c>
    </row>
    <row r="13" spans="2:8" ht="42.75" customHeight="1">
      <c r="B13" s="219" t="str">
        <f>PRZEDMIAR!B16</f>
        <v>1.10</v>
      </c>
      <c r="C13" s="169" t="str">
        <f>PRZEDMIAR!C16</f>
        <v>01.02.04.30</v>
      </c>
      <c r="D13" s="169" t="str">
        <f>PRZEDMIAR!D16</f>
        <v>Rozebranie ścieków z elementów betonowych o grubości 15 cm na podsypce cem.piaskowej</v>
      </c>
      <c r="E13" s="220" t="str">
        <f>PRZEDMIAR!E16</f>
        <v>m</v>
      </c>
      <c r="F13" s="175">
        <f>PRZEDMIAR!F16</f>
        <v>200</v>
      </c>
      <c r="G13" s="185"/>
      <c r="H13" s="186">
        <f t="shared" si="0"/>
        <v>0</v>
      </c>
    </row>
    <row r="14" spans="2:8" ht="42.75" customHeight="1">
      <c r="B14" s="219" t="str">
        <f>PRZEDMIAR!B17</f>
        <v>1.11</v>
      </c>
      <c r="C14" s="169" t="str">
        <f>PRZEDMIAR!C17</f>
        <v>01.02.04.40</v>
      </c>
      <c r="D14" s="169" t="str">
        <f>PRZEDMIAR!D17</f>
        <v>Demontaż studni fi 100 w km 0+146SL ul Brzozy</v>
      </c>
      <c r="E14" s="220" t="str">
        <f>PRZEDMIAR!E17</f>
        <v>kpl</v>
      </c>
      <c r="F14" s="175">
        <f>PRZEDMIAR!F17</f>
        <v>1</v>
      </c>
      <c r="G14" s="224"/>
      <c r="H14" s="186">
        <f t="shared" si="0"/>
        <v>0</v>
      </c>
    </row>
    <row r="15" spans="2:8" ht="36.75" customHeight="1">
      <c r="B15" s="219" t="str">
        <f>PRZEDMIAR!B18</f>
        <v>1.12</v>
      </c>
      <c r="C15" s="169" t="str">
        <f>PRZEDMIAR!C18</f>
        <v>01.02.04.09</v>
      </c>
      <c r="D15" s="169" t="str">
        <f>PRZEDMIAR!D18</f>
        <v>Roboty remontowe - cięcie piłą nawierzchni bitumicznych na gł. 6-10 cm dla korekt łuków</v>
      </c>
      <c r="E15" s="220" t="str">
        <f>PRZEDMIAR!E18</f>
        <v>m</v>
      </c>
      <c r="F15" s="175">
        <f>PRZEDMIAR!F18</f>
        <v>200</v>
      </c>
      <c r="G15" s="185"/>
      <c r="H15" s="186">
        <f t="shared" si="0"/>
        <v>0</v>
      </c>
    </row>
    <row r="16" spans="2:8" ht="56.25" customHeight="1">
      <c r="B16" s="219" t="str">
        <f>PRZEDMIAR!B19</f>
        <v>1.13</v>
      </c>
      <c r="C16" s="169" t="str">
        <f>PRZEDMIAR!C19</f>
        <v>01.02.04.22</v>
      </c>
      <c r="D16" s="169" t="str">
        <f>PRZEDMIAR!D19</f>
        <v xml:space="preserve">Frezowanie wyrównawcze nawierzchni bitumicznej o grub do 8cm z wywozem materiału z rozbiórki zgodnie z warunkami umowy </v>
      </c>
      <c r="E16" s="220" t="str">
        <f>PRZEDMIAR!E19</f>
        <v>m2</v>
      </c>
      <c r="F16" s="175">
        <f>PRZEDMIAR!F19</f>
        <v>4443.3100000000004</v>
      </c>
      <c r="G16" s="185"/>
      <c r="H16" s="186">
        <f t="shared" si="0"/>
        <v>0</v>
      </c>
    </row>
    <row r="17" spans="2:8" ht="14.25" customHeight="1" thickBot="1">
      <c r="B17" s="170"/>
      <c r="C17" s="171"/>
      <c r="D17" s="171"/>
      <c r="E17" s="171"/>
      <c r="F17" s="171"/>
      <c r="G17" s="187" t="s">
        <v>76</v>
      </c>
      <c r="H17" s="188">
        <f>SUM(H4:H16)</f>
        <v>0</v>
      </c>
    </row>
    <row r="18" spans="2:8" ht="14.25" thickTop="1" thickBot="1">
      <c r="B18" s="172">
        <f>PRZEDMIAR!B21</f>
        <v>2</v>
      </c>
      <c r="C18" s="173" t="str">
        <f>PRZEDMIAR!C21</f>
        <v>ROBOTY ZIEMNE 02.00.00. CPV 45111200-0</v>
      </c>
      <c r="D18" s="174"/>
      <c r="E18" s="174"/>
      <c r="F18" s="174"/>
      <c r="G18" s="181"/>
      <c r="H18" s="189"/>
    </row>
    <row r="19" spans="2:8" ht="26.25" thickTop="1">
      <c r="B19" s="219" t="str">
        <f>PRZEDMIAR!B22</f>
        <v>2.1</v>
      </c>
      <c r="C19" s="169" t="str">
        <f>PRZEDMIAR!C22</f>
        <v>02.01.01.00</v>
      </c>
      <c r="D19" s="169" t="str">
        <f>PRZEDMIAR!D22</f>
        <v xml:space="preserve">Roboty ziemne związane z wykonaniem rowów </v>
      </c>
      <c r="E19" s="220" t="str">
        <f>PRZEDMIAR!E22</f>
        <v>m3</v>
      </c>
      <c r="F19" s="175">
        <f>PRZEDMIAR!F22</f>
        <v>128</v>
      </c>
      <c r="G19" s="225"/>
      <c r="H19" s="223">
        <f>F19*G19</f>
        <v>0</v>
      </c>
    </row>
    <row r="20" spans="2:8" ht="14.25" customHeight="1" thickBot="1">
      <c r="B20" s="170"/>
      <c r="C20" s="171"/>
      <c r="D20" s="171"/>
      <c r="E20" s="171"/>
      <c r="F20" s="171"/>
      <c r="G20" s="180" t="s">
        <v>77</v>
      </c>
      <c r="H20" s="188">
        <f>SUM(H19:H19)</f>
        <v>0</v>
      </c>
    </row>
    <row r="21" spans="2:8" ht="14.25" thickTop="1" thickBot="1">
      <c r="B21" s="172">
        <f>PRZEDMIAR!B26</f>
        <v>3</v>
      </c>
      <c r="C21" s="173" t="str">
        <f>PRZEDMIAR!C26</f>
        <v>ODWODNIENIE 03.00.00. CPV 45232400-6</v>
      </c>
      <c r="D21" s="176"/>
      <c r="E21" s="176"/>
      <c r="F21" s="176"/>
      <c r="G21" s="182"/>
      <c r="H21" s="190"/>
    </row>
    <row r="22" spans="2:8" ht="84" customHeight="1" thickTop="1">
      <c r="B22" s="219" t="str">
        <f>PRZEDMIAR!B27</f>
        <v>3.1</v>
      </c>
      <c r="C22" s="169" t="str">
        <f>PRZEDMIAR!C27</f>
        <v>03.02.01.20</v>
      </c>
      <c r="D22" s="169" t="str">
        <f>PRZEDMIAR!D27</f>
        <v>Wykonanie studni rewizyjnych i przelotowych betonowych średnicy 1200 mm wraz z demontażem istniejącej i kpl. robót odtworzeniowych nawierzchni obmiar wg tabeli</v>
      </c>
      <c r="E22" s="220" t="str">
        <f>PRZEDMIAR!E27</f>
        <v>stud.</v>
      </c>
      <c r="F22" s="175">
        <f>PRZEDMIAR!F27</f>
        <v>6</v>
      </c>
      <c r="G22" s="222"/>
      <c r="H22" s="223">
        <f t="shared" ref="H22:H32" si="1">F22*G22</f>
        <v>0</v>
      </c>
    </row>
    <row r="23" spans="2:8" ht="38.25">
      <c r="B23" s="219" t="str">
        <f>PRZEDMIAR!B28</f>
        <v>3.2</v>
      </c>
      <c r="C23" s="169" t="str">
        <f>PRZEDMIAR!C28</f>
        <v>03.02.01.20</v>
      </c>
      <c r="D23" s="169" t="str">
        <f>PRZEDMIAR!D28</f>
        <v>Wykonanie studni rewizyjnych i przelotowych z PP o śr. 400 mm z pokrywą kl.D-400kN z kpl. robót odtworzeniowych nawierzchni  - obmiar wg tabeli</v>
      </c>
      <c r="E23" s="220" t="str">
        <f>PRZEDMIAR!E28</f>
        <v>stud.</v>
      </c>
      <c r="F23" s="175">
        <f>PRZEDMIAR!F28</f>
        <v>2</v>
      </c>
      <c r="G23" s="222"/>
      <c r="H23" s="223">
        <f t="shared" si="1"/>
        <v>0</v>
      </c>
    </row>
    <row r="24" spans="2:8" ht="102">
      <c r="B24" s="219" t="str">
        <f>PRZEDMIAR!B29</f>
        <v>3.3</v>
      </c>
      <c r="C24" s="169" t="str">
        <f>PRZEDMIAR!C29</f>
        <v>03.02.01.18</v>
      </c>
      <c r="D24" s="169" t="str">
        <f>PRZEDMIAR!D29</f>
        <v>Studnie rewizyjne z kręgów betonowych o śr. 1500 mm wykonywane metodą studniarską w gruncie kat.III  wraz z wykonaniem robót ziemnych  z pokrywą żeliwną fi 600 kl.C-250kN wraz z demontażem istniejącej i kpl robót odtworzeniowych nawierzchni- obmiar wg tabeli</v>
      </c>
      <c r="E24" s="220" t="str">
        <f>PRZEDMIAR!E29</f>
        <v>stud.</v>
      </c>
      <c r="F24" s="175">
        <f>PRZEDMIAR!F29</f>
        <v>3</v>
      </c>
      <c r="G24" s="183"/>
      <c r="H24" s="186">
        <f t="shared" si="1"/>
        <v>0</v>
      </c>
    </row>
    <row r="25" spans="2:8" ht="76.5">
      <c r="B25" s="219" t="str">
        <f>PRZEDMIAR!B30</f>
        <v>3.4</v>
      </c>
      <c r="C25" s="169" t="str">
        <f>PRZEDMIAR!C30</f>
        <v>03.02.01.22</v>
      </c>
      <c r="D25" s="169" t="str">
        <f>PRZEDMIAR!D30</f>
        <v>Wykonanie studzienek wlotowych  kanalizacji deszczowej  fi 500 z PP z wpustem kl C-250  wraz z wykonaniem kompletu robót rozbiórkowych i odtworzeniem konstr.  nawierzchni  wg tabeli</v>
      </c>
      <c r="E25" s="220" t="str">
        <f>PRZEDMIAR!E30</f>
        <v>szt.</v>
      </c>
      <c r="F25" s="175">
        <f>PRZEDMIAR!F30</f>
        <v>12</v>
      </c>
      <c r="G25" s="185"/>
      <c r="H25" s="186">
        <f t="shared" si="1"/>
        <v>0</v>
      </c>
    </row>
    <row r="26" spans="2:8" ht="63.75">
      <c r="B26" s="219" t="str">
        <f>PRZEDMIAR!B31</f>
        <v>3.5</v>
      </c>
      <c r="C26" s="169" t="str">
        <f>PRZEDMIAR!C31</f>
        <v>03.02.01.22</v>
      </c>
      <c r="D26" s="169" t="str">
        <f>PRZEDMIAR!D31</f>
        <v xml:space="preserve">Wykonanie studzienek wlotowych  kanalizacji deszczowej kl C-250 w wpustem krawężnikowym wraz z kpl robót rozbiórkowych i odtworzeniem konstr. nawierzchni obmiar wg tabeli </v>
      </c>
      <c r="E26" s="220" t="str">
        <f>PRZEDMIAR!E31</f>
        <v>szt.</v>
      </c>
      <c r="F26" s="175">
        <f>PRZEDMIAR!F31</f>
        <v>7</v>
      </c>
      <c r="G26" s="185"/>
      <c r="H26" s="186">
        <f t="shared" si="1"/>
        <v>0</v>
      </c>
    </row>
    <row r="27" spans="2:8" ht="51">
      <c r="B27" s="219" t="str">
        <f>PRZEDMIAR!B32</f>
        <v>3.6</v>
      </c>
      <c r="C27" s="169" t="str">
        <f>PRZEDMIAR!C32</f>
        <v>03.02.01.23</v>
      </c>
      <c r="D27" s="169" t="str">
        <f>PRZEDMIAR!D32</f>
        <v>Wykonanie przykanalika z rur PVC-U kl. S 200 łączonych na wcisk obmiar wg tabeli  wraz z kompletem robót rozbiórkowych i odtworzeniem konstrukcji nawierzchni.</v>
      </c>
      <c r="E27" s="220" t="str">
        <f>PRZEDMIAR!E32</f>
        <v>m</v>
      </c>
      <c r="F27" s="175">
        <f>PRZEDMIAR!F32</f>
        <v>79</v>
      </c>
      <c r="G27" s="183"/>
      <c r="H27" s="186">
        <f t="shared" si="1"/>
        <v>0</v>
      </c>
    </row>
    <row r="28" spans="2:8" ht="38.25">
      <c r="B28" s="219" t="str">
        <f>PRZEDMIAR!B33</f>
        <v>3.7</v>
      </c>
      <c r="C28" s="169" t="str">
        <f>PRZEDMIAR!C33</f>
        <v>03.02.01.27</v>
      </c>
      <c r="D28" s="169" t="str">
        <f>PRZEDMIAR!D33</f>
        <v xml:space="preserve">Wykonanie kolektora PP  800 SN 8 wraz z kompletem robót rozbiórkowych, ziemnych i odbudową konstrukcji nawierzchni </v>
      </c>
      <c r="E28" s="220" t="str">
        <f>PRZEDMIAR!E33</f>
        <v>m</v>
      </c>
      <c r="F28" s="175">
        <f>PRZEDMIAR!F33</f>
        <v>71</v>
      </c>
      <c r="G28" s="224"/>
      <c r="H28" s="186">
        <f t="shared" si="1"/>
        <v>0</v>
      </c>
    </row>
    <row r="29" spans="2:8" ht="38.25">
      <c r="B29" s="219" t="str">
        <f>PRZEDMIAR!B34</f>
        <v>3.8</v>
      </c>
      <c r="C29" s="169" t="str">
        <f>PRZEDMIAR!C34</f>
        <v>03.02.01.27</v>
      </c>
      <c r="D29" s="169" t="str">
        <f>PRZEDMIAR!D34</f>
        <v xml:space="preserve">Wykonanie kolektora PP  500 SN 8 wraz z kompletem roót rozbiórkowych, ziemnych i odbudową konstrukcji nawierzchni </v>
      </c>
      <c r="E29" s="220" t="str">
        <f>PRZEDMIAR!E34</f>
        <v>m</v>
      </c>
      <c r="F29" s="175">
        <f>PRZEDMIAR!F34</f>
        <v>71</v>
      </c>
      <c r="G29" s="224"/>
      <c r="H29" s="186">
        <f t="shared" si="1"/>
        <v>0</v>
      </c>
    </row>
    <row r="30" spans="2:8" ht="51">
      <c r="B30" s="219" t="str">
        <f>PRZEDMIAR!B35</f>
        <v>3.9</v>
      </c>
      <c r="C30" s="169" t="str">
        <f>PRZEDMIAR!C35</f>
        <v>03.02.01.25</v>
      </c>
      <c r="D30" s="169" t="str">
        <f>PRZEDMIAR!D35</f>
        <v>Wykonanie kolektora z rur PP 315 SN8 wraz z kompletem robót rozbiórkowych, ziemnych oraz odtworzeniem konstrukcji nawierzchni</v>
      </c>
      <c r="E30" s="220" t="str">
        <f>PRZEDMIAR!E35</f>
        <v>m</v>
      </c>
      <c r="F30" s="175">
        <f>PRZEDMIAR!F35</f>
        <v>57</v>
      </c>
      <c r="G30" s="185"/>
      <c r="H30" s="186">
        <f t="shared" si="1"/>
        <v>0</v>
      </c>
    </row>
    <row r="31" spans="2:8">
      <c r="B31" s="219" t="str">
        <f>PRZEDMIAR!B36</f>
        <v>3.10</v>
      </c>
      <c r="C31" s="169" t="str">
        <f>PRZEDMIAR!C36</f>
        <v>03.30.01.01</v>
      </c>
      <c r="D31" s="169" t="str">
        <f>PRZEDMIAR!D36</f>
        <v>Wykonanie ścieków podchodnikowych</v>
      </c>
      <c r="E31" s="220" t="str">
        <f>PRZEDMIAR!E36</f>
        <v>kpl</v>
      </c>
      <c r="F31" s="175">
        <f>PRZEDMIAR!F36</f>
        <v>3</v>
      </c>
      <c r="G31" s="183"/>
      <c r="H31" s="186">
        <f t="shared" si="1"/>
        <v>0</v>
      </c>
    </row>
    <row r="32" spans="2:8" ht="51">
      <c r="B32" s="219" t="str">
        <f>PRZEDMIAR!B40</f>
        <v>3.11</v>
      </c>
      <c r="C32" s="169" t="str">
        <f>PRZEDMIAR!C40</f>
        <v>03.01.01.60</v>
      </c>
      <c r="D32" s="169" t="str">
        <f>PRZEDMIAR!D40</f>
        <v xml:space="preserve">Wykonanie obudowy wlotów (wylotów) prefabrykowanych przepustów drogowych rurowych - naprawy uszkodzonych elementów </v>
      </c>
      <c r="E32" s="220" t="str">
        <f>PRZEDMIAR!E40</f>
        <v>m3</v>
      </c>
      <c r="F32" s="175">
        <f>PRZEDMIAR!F40</f>
        <v>8.24</v>
      </c>
      <c r="G32" s="183"/>
      <c r="H32" s="186">
        <f t="shared" si="1"/>
        <v>0</v>
      </c>
    </row>
    <row r="33" spans="1:8">
      <c r="B33" s="226"/>
      <c r="C33" s="177"/>
      <c r="D33" s="177"/>
      <c r="E33" s="227"/>
      <c r="F33" s="178"/>
      <c r="G33" s="185"/>
      <c r="H33" s="186"/>
    </row>
    <row r="34" spans="1:8" ht="13.5" thickBot="1">
      <c r="B34" s="170"/>
      <c r="C34" s="171"/>
      <c r="D34" s="171"/>
      <c r="E34" s="171"/>
      <c r="F34" s="171"/>
      <c r="G34" s="180" t="s">
        <v>79</v>
      </c>
      <c r="H34" s="188">
        <f>SUM(H23:H33)</f>
        <v>0</v>
      </c>
    </row>
    <row r="35" spans="1:8" ht="14.25" thickTop="1" thickBot="1">
      <c r="B35" s="172">
        <f>PRZEDMIAR!B45</f>
        <v>4</v>
      </c>
      <c r="C35" s="173" t="str">
        <f>PRZEDMIAR!C45</f>
        <v>PODBUDOWY 04.00.00. CPV 45233220-6</v>
      </c>
      <c r="D35" s="174"/>
      <c r="E35" s="174"/>
      <c r="F35" s="174"/>
      <c r="G35" s="181"/>
      <c r="H35" s="189"/>
    </row>
    <row r="36" spans="1:8" ht="51.75" thickTop="1">
      <c r="B36" s="226" t="str">
        <f>PRZEDMIAR!B46</f>
        <v>4.1</v>
      </c>
      <c r="C36" s="177" t="str">
        <f>PRZEDMIAR!C46</f>
        <v>04.04.02.20</v>
      </c>
      <c r="D36" s="177" t="str">
        <f>PRZEDMIAR!D46</f>
        <v>Wykonanie stabilizacji z piasku stabilizowanego cementem gr.12cm Rm=2,5MPa pod nawierzchnie z kostki na zatokach postojowych oraz ul. Partyzantów</v>
      </c>
      <c r="E36" s="227" t="str">
        <f>PRZEDMIAR!E46</f>
        <v>m2</v>
      </c>
      <c r="F36" s="178">
        <f>PRZEDMIAR!F46</f>
        <v>1358.5</v>
      </c>
      <c r="G36" s="185"/>
      <c r="H36" s="186">
        <f>F36*G36</f>
        <v>0</v>
      </c>
    </row>
    <row r="37" spans="1:8" ht="51">
      <c r="B37" s="226" t="str">
        <f>PRZEDMIAR!B50</f>
        <v>4.2</v>
      </c>
      <c r="C37" s="177" t="str">
        <f>PRZEDMIAR!C50</f>
        <v>04.04.02.15</v>
      </c>
      <c r="D37" s="177" t="str">
        <f>PRZEDMIAR!D50</f>
        <v>Wykonanie podbudowy z kruszywa łamanego 0-31,5mm gr.15cm po zagęszczeniu na zjazdach o nawierzchni z kostki i łukach</v>
      </c>
      <c r="E37" s="227" t="str">
        <f>PRZEDMIAR!E50</f>
        <v>m2</v>
      </c>
      <c r="F37" s="178">
        <f>PRZEDMIAR!F50</f>
        <v>1015.26</v>
      </c>
      <c r="G37" s="185"/>
      <c r="H37" s="186">
        <f>F37*G37</f>
        <v>0</v>
      </c>
    </row>
    <row r="38" spans="1:8" ht="55.5" customHeight="1">
      <c r="B38" s="226" t="str">
        <f>PRZEDMIAR!B56</f>
        <v>4.3</v>
      </c>
      <c r="C38" s="177" t="str">
        <f>PRZEDMIAR!C56</f>
        <v>04.04.02.12</v>
      </c>
      <c r="D38" s="177" t="str">
        <f>PRZEDMIAR!D56</f>
        <v>Wykonanie podbudowy z kruszywa 0-16mm pod nawierzchnię z chodnika gr. po zagęszczeniu 12cm  wraz z korytowaniem i zagęszczeniem podłoża</v>
      </c>
      <c r="E38" s="227" t="str">
        <f>PRZEDMIAR!E56</f>
        <v>m2</v>
      </c>
      <c r="F38" s="178">
        <f>PRZEDMIAR!F56</f>
        <v>1633.5</v>
      </c>
      <c r="G38" s="185"/>
      <c r="H38" s="186">
        <f>F38*G38</f>
        <v>0</v>
      </c>
    </row>
    <row r="39" spans="1:8" ht="19.5" customHeight="1" thickBot="1">
      <c r="B39" s="170"/>
      <c r="C39" s="171"/>
      <c r="D39" s="171"/>
      <c r="E39" s="171"/>
      <c r="F39" s="171"/>
      <c r="G39" s="180" t="s">
        <v>81</v>
      </c>
      <c r="H39" s="188">
        <f>SUM(H36:H38)</f>
        <v>0</v>
      </c>
    </row>
    <row r="40" spans="1:8" ht="14.25" thickTop="1" thickBot="1">
      <c r="B40" s="172">
        <f>PRZEDMIAR!B58</f>
        <v>5</v>
      </c>
      <c r="C40" s="173" t="str">
        <f>PRZEDMIAR!C58</f>
        <v>NAWIERZCHNIE 05.00.00. CPV 45232220-7</v>
      </c>
      <c r="D40" s="176"/>
      <c r="E40" s="176"/>
      <c r="F40" s="176"/>
      <c r="G40" s="182"/>
      <c r="H40" s="190"/>
    </row>
    <row r="41" spans="1:8" ht="26.25" thickTop="1">
      <c r="B41" s="226" t="str">
        <f>PRZEDMIAR!B59</f>
        <v>5.1</v>
      </c>
      <c r="C41" s="177" t="str">
        <f>PRZEDMIAR!C59</f>
        <v>05.03.05.60</v>
      </c>
      <c r="D41" s="177" t="str">
        <f>PRZEDMIAR!D59</f>
        <v>Wykonanie warstwy profilującej z betonu asfaltowego średnio 50kg/m2</v>
      </c>
      <c r="E41" s="227" t="str">
        <f>PRZEDMIAR!E59</f>
        <v>t</v>
      </c>
      <c r="F41" s="178">
        <f>PRZEDMIAR!F59</f>
        <v>238.39</v>
      </c>
      <c r="G41" s="224"/>
      <c r="H41" s="186">
        <f>F41*G41</f>
        <v>0</v>
      </c>
    </row>
    <row r="42" spans="1:8" ht="51">
      <c r="B42" s="226" t="str">
        <f>PRZEDMIAR!B60</f>
        <v>5.2</v>
      </c>
      <c r="C42" s="177" t="str">
        <f>PRZEDMIAR!C60</f>
        <v>05.03.05.28</v>
      </c>
      <c r="D42" s="177" t="str">
        <f>PRZEDMIAR!D60</f>
        <v>Ułożenie warstwy wiążącej z betonu asfaltowego AC 11W  gr. 4cm wraz z dostarczeniem masy z miejsca wytworzenia obmiar wg. tab.</v>
      </c>
      <c r="E42" s="227" t="str">
        <f>PRZEDMIAR!E60</f>
        <v>m2</v>
      </c>
      <c r="F42" s="178">
        <f>PRZEDMIAR!F60</f>
        <v>4443.3100000000004</v>
      </c>
      <c r="G42" s="224"/>
      <c r="H42" s="186">
        <f>F42*G42</f>
        <v>0</v>
      </c>
    </row>
    <row r="43" spans="1:8" ht="51">
      <c r="B43" s="226" t="str">
        <f>PRZEDMIAR!B61</f>
        <v>5.3</v>
      </c>
      <c r="C43" s="177" t="str">
        <f>PRZEDMIAR!C61</f>
        <v>05.03.13.16</v>
      </c>
      <c r="D43" s="177" t="str">
        <f>PRZEDMIAR!D61</f>
        <v>Ułożenie warstwy ścieralnej z betonu asfaltowego AC 11W  gr. 4cm wraz z dostarczeniem masy z miejsca wytworzenia obmiar wg. tab.</v>
      </c>
      <c r="E43" s="227" t="str">
        <f>PRZEDMIAR!E61</f>
        <v>m2</v>
      </c>
      <c r="F43" s="178">
        <f>PRZEDMIAR!F61</f>
        <v>4767.8100000000004</v>
      </c>
      <c r="G43" s="224"/>
      <c r="H43" s="186">
        <f>F43*G43</f>
        <v>0</v>
      </c>
    </row>
    <row r="44" spans="1:8" ht="53.25" customHeight="1">
      <c r="B44" s="226" t="str">
        <f>PRZEDMIAR!B62</f>
        <v>5.4</v>
      </c>
      <c r="C44" s="177" t="str">
        <f>PRZEDMIAR!C62</f>
        <v>08.02.02.12</v>
      </c>
      <c r="D44" s="177" t="str">
        <f>PRZEDMIAR!D62</f>
        <v>Ułożenie kostki betonowej kolor grafitowy typ starobruk gr.8cm na podsypce cem.piaskowej na ul. Paryzantów od km 0+016 do km 0+167 szer.3,5m</v>
      </c>
      <c r="E44" s="227" t="str">
        <f>PRZEDMIAR!E62</f>
        <v>m2</v>
      </c>
      <c r="F44" s="178">
        <f>PRZEDMIAR!F62</f>
        <v>528.5</v>
      </c>
      <c r="G44" s="185"/>
      <c r="H44" s="186">
        <f>F44*G44</f>
        <v>0</v>
      </c>
    </row>
    <row r="45" spans="1:8" ht="25.5">
      <c r="A45" s="340"/>
      <c r="B45" s="226" t="str">
        <f>PRZEDMIAR!B63</f>
        <v>5.5</v>
      </c>
      <c r="C45" s="177" t="str">
        <f>PRZEDMIAR!C63</f>
        <v>08.02.02.20</v>
      </c>
      <c r="D45" s="177" t="str">
        <f>PRZEDMIAR!D63</f>
        <v>Wykonanie regulacji wysokościowej zjazdów z kostki betonowej oraz kamiennej</v>
      </c>
      <c r="E45" s="227" t="str">
        <f>PRZEDMIAR!E63</f>
        <v>m2</v>
      </c>
      <c r="F45" s="178">
        <f>PRZEDMIAR!F63</f>
        <v>30</v>
      </c>
      <c r="G45" s="224"/>
      <c r="H45" s="186">
        <f>F45*G45</f>
        <v>0</v>
      </c>
    </row>
    <row r="46" spans="1:8" ht="13.5" thickBot="1">
      <c r="B46" s="170"/>
      <c r="C46" s="171"/>
      <c r="D46" s="171"/>
      <c r="E46" s="171"/>
      <c r="F46" s="171"/>
      <c r="G46" s="180" t="s">
        <v>83</v>
      </c>
      <c r="H46" s="188">
        <f>SUM(H41:H45)</f>
        <v>0</v>
      </c>
    </row>
    <row r="47" spans="1:8" ht="14.25" thickTop="1" thickBot="1">
      <c r="B47" s="172">
        <f>PRZEDMIAR!B65</f>
        <v>6</v>
      </c>
      <c r="C47" s="173" t="str">
        <f>PRZEDMIAR!C65</f>
        <v>ROBOTY WYKOŃCZENIOWE 06.00.00. CPV 451233200-1</v>
      </c>
      <c r="D47" s="176"/>
      <c r="E47" s="176"/>
      <c r="F47" s="176"/>
      <c r="G47" s="182"/>
      <c r="H47" s="190"/>
    </row>
    <row r="48" spans="1:8" ht="64.5" thickTop="1">
      <c r="B48" s="226" t="str">
        <f>PRZEDMIAR!B66</f>
        <v>6.1</v>
      </c>
      <c r="C48" s="177" t="str">
        <f>PRZEDMIAR!C66</f>
        <v>06.03.01.31</v>
      </c>
      <c r="D48" s="177" t="str">
        <f>PRZEDMIAR!D66</f>
        <v>Uzupełnienie poboczy mieszanką kamienia łamanego 0-31,5mm  na szer.1,25m gr. 10cm. wraz z zagęszczeniem. od km 0+393 do km 0+493 ul. Kanonijska oraz 50m na włączeniach</v>
      </c>
      <c r="E48" s="227" t="str">
        <f>PRZEDMIAR!E66</f>
        <v>m3</v>
      </c>
      <c r="F48" s="178">
        <f>PRZEDMIAR!F66</f>
        <v>18.75</v>
      </c>
      <c r="G48" s="224"/>
      <c r="H48" s="186">
        <f t="shared" ref="H48:H57" si="2">F48*G48</f>
        <v>0</v>
      </c>
    </row>
    <row r="49" spans="2:8" ht="25.5">
      <c r="B49" s="226" t="str">
        <f>PRZEDMIAR!B67</f>
        <v>6.2</v>
      </c>
      <c r="C49" s="177" t="str">
        <f>PRZEDMIAR!C67</f>
        <v>06.01.03.23</v>
      </c>
      <c r="D49" s="177" t="str">
        <f>PRZEDMIAR!D67</f>
        <v xml:space="preserve">Ułożenie ścieków drogowych korytkowych 50x50x15 cm na podsypce cem.piaskowej  </v>
      </c>
      <c r="E49" s="227" t="str">
        <f>PRZEDMIAR!E67</f>
        <v>m</v>
      </c>
      <c r="F49" s="178">
        <f>PRZEDMIAR!F67</f>
        <v>130</v>
      </c>
      <c r="G49" s="224"/>
      <c r="H49" s="186">
        <f t="shared" si="2"/>
        <v>0</v>
      </c>
    </row>
    <row r="50" spans="2:8" ht="51">
      <c r="B50" s="226" t="str">
        <f>PRZEDMIAR!B71</f>
        <v>6.3</v>
      </c>
      <c r="C50" s="177" t="str">
        <f>PRZEDMIAR!C71</f>
        <v>06.01.03.26</v>
      </c>
      <c r="D50" s="177" t="str">
        <f>PRZEDMIAR!D71</f>
        <v>Umocnienie skarp rowów płytami betonowymi ażurowymi ECO 40x60x10cm na podsypce cem-piaskowej gr 5cm ul. Kanonijska</v>
      </c>
      <c r="E50" s="227" t="str">
        <f>PRZEDMIAR!E71</f>
        <v>m2</v>
      </c>
      <c r="F50" s="178">
        <f>PRZEDMIAR!F71</f>
        <v>216</v>
      </c>
      <c r="G50" s="228"/>
      <c r="H50" s="229">
        <f t="shared" si="2"/>
        <v>0</v>
      </c>
    </row>
    <row r="51" spans="2:8" ht="51">
      <c r="B51" s="226" t="str">
        <f>PRZEDMIAR!B75</f>
        <v>6.4</v>
      </c>
      <c r="C51" s="177" t="str">
        <f>PRZEDMIAR!C75</f>
        <v>06.02.01.22</v>
      </c>
      <c r="D51" s="177" t="str">
        <f>PRZEDMIAR!D75</f>
        <v xml:space="preserve">Wykonanie przepustów pod zjazdami z rur PP 500 SN8 wraz z wykonaniem ławy z kruszywa łamanego 0-16mm gr.15cm szer.40cm </v>
      </c>
      <c r="E51" s="227" t="str">
        <f>PRZEDMIAR!E75</f>
        <v>m</v>
      </c>
      <c r="F51" s="178">
        <f>PRZEDMIAR!F75</f>
        <v>43</v>
      </c>
      <c r="G51" s="224"/>
      <c r="H51" s="186">
        <f t="shared" si="2"/>
        <v>0</v>
      </c>
    </row>
    <row r="52" spans="2:8" ht="47.25" customHeight="1">
      <c r="B52" s="226" t="str">
        <f>PRZEDMIAR!B76</f>
        <v>6.5</v>
      </c>
      <c r="C52" s="177" t="str">
        <f>PRZEDMIAR!C76</f>
        <v>03.01.01.61</v>
      </c>
      <c r="D52" s="177" t="str">
        <f>PRZEDMIAR!D76</f>
        <v>Wykonanie ścianek czołowych dla przepustów średnicy 50 cm -ścinki prefabrykowane</v>
      </c>
      <c r="E52" s="227" t="str">
        <f>PRZEDMIAR!E76</f>
        <v>ściank.</v>
      </c>
      <c r="F52" s="178">
        <f>PRZEDMIAR!F76</f>
        <v>16</v>
      </c>
      <c r="G52" s="185"/>
      <c r="H52" s="186">
        <f t="shared" si="2"/>
        <v>0</v>
      </c>
    </row>
    <row r="53" spans="2:8" ht="27" customHeight="1">
      <c r="B53" s="226" t="str">
        <f>PRZEDMIAR!B77</f>
        <v>6.6</v>
      </c>
      <c r="C53" s="177" t="str">
        <f>PRZEDMIAR!C77</f>
        <v>06.07.10.01</v>
      </c>
      <c r="D53" s="177" t="str">
        <f>PRZEDMIAR!D77</f>
        <v>Regulacja pionowa studzienek kanalizacji sanitarnej wraz z wymianą pokryw</v>
      </c>
      <c r="E53" s="227" t="str">
        <f>PRZEDMIAR!E77</f>
        <v>szt.</v>
      </c>
      <c r="F53" s="178">
        <f>PRZEDMIAR!F77</f>
        <v>40</v>
      </c>
      <c r="G53" s="185"/>
      <c r="H53" s="186">
        <f t="shared" si="2"/>
        <v>0</v>
      </c>
    </row>
    <row r="54" spans="2:8" ht="25.5" customHeight="1">
      <c r="B54" s="226" t="str">
        <f>PRZEDMIAR!B78</f>
        <v>6.7</v>
      </c>
      <c r="C54" s="177" t="str">
        <f>PRZEDMIAR!C78</f>
        <v>06.07.10.01</v>
      </c>
      <c r="D54" s="177" t="str">
        <f>PRZEDMIAR!D78</f>
        <v>Regulacja pionowa studni kanalizacji deszczowej ul. Brzozy km 0+098SL</v>
      </c>
      <c r="E54" s="227" t="str">
        <f>PRZEDMIAR!E78</f>
        <v>szt.</v>
      </c>
      <c r="F54" s="178">
        <f>PRZEDMIAR!F78</f>
        <v>1</v>
      </c>
      <c r="G54" s="185"/>
      <c r="H54" s="186">
        <f t="shared" si="2"/>
        <v>0</v>
      </c>
    </row>
    <row r="55" spans="2:8" ht="25.5">
      <c r="B55" s="226" t="str">
        <f>PRZEDMIAR!B79</f>
        <v>6.8</v>
      </c>
      <c r="C55" s="177" t="str">
        <f>PRZEDMIAR!C79</f>
        <v>06.07.10.01</v>
      </c>
      <c r="D55" s="177" t="str">
        <f>PRZEDMIAR!D79</f>
        <v>Regulacja pionowa studzienek telefonicznych wraz z wymianą pokryw</v>
      </c>
      <c r="E55" s="227" t="str">
        <f>PRZEDMIAR!E79</f>
        <v>szt.</v>
      </c>
      <c r="F55" s="178">
        <f>PRZEDMIAR!F79</f>
        <v>6</v>
      </c>
      <c r="G55" s="185"/>
      <c r="H55" s="186">
        <f t="shared" si="2"/>
        <v>0</v>
      </c>
    </row>
    <row r="56" spans="2:8" ht="40.5" customHeight="1">
      <c r="B56" s="226" t="str">
        <f>PRZEDMIAR!B80</f>
        <v>6.9</v>
      </c>
      <c r="C56" s="177" t="str">
        <f>PRZEDMIAR!C80</f>
        <v>06.07.10.01</v>
      </c>
      <c r="D56" s="177" t="str">
        <f>PRZEDMIAR!D80</f>
        <v xml:space="preserve">Regulacja pionowa studzienek dla zaworów wodociągowych </v>
      </c>
      <c r="E56" s="227" t="str">
        <f>PRZEDMIAR!E80</f>
        <v>szt.</v>
      </c>
      <c r="F56" s="178">
        <f>PRZEDMIAR!F80</f>
        <v>50</v>
      </c>
      <c r="G56" s="185"/>
      <c r="H56" s="186">
        <f t="shared" si="2"/>
        <v>0</v>
      </c>
    </row>
    <row r="57" spans="2:8" ht="33" customHeight="1">
      <c r="B57" s="226" t="str">
        <f>PRZEDMIAR!B81</f>
        <v>6.10</v>
      </c>
      <c r="C57" s="177" t="str">
        <f>PRZEDMIAR!C81</f>
        <v>06.07.10.01</v>
      </c>
      <c r="D57" s="177" t="str">
        <f>PRZEDMIAR!D81</f>
        <v>Przestawienie hydrantów kolidujących z chodnikiem</v>
      </c>
      <c r="E57" s="227" t="str">
        <f>PRZEDMIAR!E81</f>
        <v>szt.</v>
      </c>
      <c r="F57" s="178">
        <f>PRZEDMIAR!F81</f>
        <v>3</v>
      </c>
      <c r="G57" s="230"/>
      <c r="H57" s="231">
        <f t="shared" si="2"/>
        <v>0</v>
      </c>
    </row>
    <row r="58" spans="2:8" ht="27" customHeight="1" thickBot="1">
      <c r="B58" s="170"/>
      <c r="C58" s="171"/>
      <c r="D58" s="171"/>
      <c r="E58" s="171"/>
      <c r="F58" s="171"/>
      <c r="G58" s="180" t="s">
        <v>85</v>
      </c>
      <c r="H58" s="188">
        <f>SUM(H48:H57)</f>
        <v>0</v>
      </c>
    </row>
    <row r="59" spans="2:8" ht="14.25" thickTop="1" thickBot="1">
      <c r="B59" s="172">
        <f>PRZEDMIAR!B82</f>
        <v>7</v>
      </c>
      <c r="C59" s="173" t="str">
        <f>PRZEDMIAR!C82</f>
        <v>URZĄDZENIA BEZPIECZEŃSTWA 07.00.00. CPV 451233290-8</v>
      </c>
      <c r="D59" s="176"/>
      <c r="E59" s="176"/>
      <c r="F59" s="176"/>
      <c r="G59" s="182"/>
      <c r="H59" s="190"/>
    </row>
    <row r="60" spans="2:8" ht="39" thickTop="1">
      <c r="B60" s="226" t="str">
        <f>PRZEDMIAR!B83</f>
        <v>7.1</v>
      </c>
      <c r="C60" s="177" t="str">
        <f>PRZEDMIAR!C83</f>
        <v>07.01.01.02</v>
      </c>
      <c r="D60" s="177" t="str">
        <f>PRZEDMIAR!D83</f>
        <v>Mechaniczne malowanie linii na skrzyżowaniach i przejściach dla pieszych farbą chlorokauczukową  P-10 i P-14</v>
      </c>
      <c r="E60" s="227" t="str">
        <f>PRZEDMIAR!E83</f>
        <v>m2</v>
      </c>
      <c r="F60" s="178">
        <f>PRZEDMIAR!F83</f>
        <v>38</v>
      </c>
      <c r="G60" s="183"/>
      <c r="H60" s="186">
        <f>F60*G60</f>
        <v>0</v>
      </c>
    </row>
    <row r="61" spans="2:8" ht="61.5" customHeight="1">
      <c r="B61" s="226" t="str">
        <f>PRZEDMIAR!B87</f>
        <v>7.2</v>
      </c>
      <c r="C61" s="177" t="str">
        <f>PRZEDMIAR!C87</f>
        <v>07.02.01.11</v>
      </c>
      <c r="D61" s="177" t="str">
        <f>PRZEDMIAR!D87</f>
        <v>Ustawienie  proj. nowych znaków drogowych zakazu, nakazu, ostrzegawczych, informacyjnych o powierzchni do 0.3 m2 znaki D-6 i  D-18 wraz ze słupkami</v>
      </c>
      <c r="E61" s="227" t="str">
        <f>PRZEDMIAR!E87</f>
        <v>szt.</v>
      </c>
      <c r="F61" s="178">
        <f>PRZEDMIAR!F87</f>
        <v>9</v>
      </c>
      <c r="G61" s="185"/>
      <c r="H61" s="186">
        <f>F61*G61</f>
        <v>0</v>
      </c>
    </row>
    <row r="62" spans="2:8" ht="39.75" customHeight="1">
      <c r="B62" s="226" t="str">
        <f>PRZEDMIAR!B91</f>
        <v>7.3</v>
      </c>
      <c r="C62" s="177" t="str">
        <f>PRZEDMIAR!C91</f>
        <v>07.02.01.11</v>
      </c>
      <c r="D62" s="177" t="str">
        <f>PRZEDMIAR!D91</f>
        <v>Wymiana istniejacych znakow drogowych wg zestawienia (demontaż+ustawienie nowych wraz z słupkami)</v>
      </c>
      <c r="E62" s="227" t="str">
        <f>PRZEDMIAR!E91</f>
        <v>szt.</v>
      </c>
      <c r="F62" s="178">
        <f>PRZEDMIAR!F91</f>
        <v>16</v>
      </c>
      <c r="G62" s="185"/>
      <c r="H62" s="186">
        <f>F62*G62</f>
        <v>0</v>
      </c>
    </row>
    <row r="63" spans="2:8" ht="32.25" customHeight="1">
      <c r="B63" s="226" t="str">
        <f>PRZEDMIAR!B101</f>
        <v>7.4</v>
      </c>
      <c r="C63" s="177" t="str">
        <f>PRZEDMIAR!C101</f>
        <v>07.06.02.11</v>
      </c>
      <c r="D63" s="177" t="str">
        <f>PRZEDMIAR!D101</f>
        <v>Ustawienie poręczy ochronnych sztywnych  U-12a km 0+195 SP ul.Kanonijska</v>
      </c>
      <c r="E63" s="227" t="str">
        <f>PRZEDMIAR!E101</f>
        <v>m</v>
      </c>
      <c r="F63" s="178">
        <f>PRZEDMIAR!F101</f>
        <v>2.5</v>
      </c>
      <c r="G63" s="224"/>
      <c r="H63" s="186">
        <f>F63*G63</f>
        <v>0</v>
      </c>
    </row>
    <row r="64" spans="2:8" ht="36" customHeight="1" thickBot="1">
      <c r="B64" s="170"/>
      <c r="C64" s="171"/>
      <c r="D64" s="171"/>
      <c r="E64" s="171"/>
      <c r="F64" s="171"/>
      <c r="G64" s="180" t="s">
        <v>85</v>
      </c>
      <c r="H64" s="188">
        <f>SUM(H60:H63)</f>
        <v>0</v>
      </c>
    </row>
    <row r="65" spans="2:8" ht="14.25" thickTop="1" thickBot="1">
      <c r="B65" s="172">
        <f>PRZEDMIAR!B103</f>
        <v>8</v>
      </c>
      <c r="C65" s="173" t="str">
        <f>PRZEDMIAR!C103</f>
        <v>ELEMENTY ULIC 08.00.00. CPV 45233220-7</v>
      </c>
      <c r="D65" s="176"/>
      <c r="E65" s="176"/>
      <c r="F65" s="176"/>
      <c r="G65" s="182"/>
      <c r="H65" s="190"/>
    </row>
    <row r="66" spans="2:8" ht="87.75" customHeight="1" thickTop="1">
      <c r="B66" s="226" t="str">
        <f>PRZEDMIAR!B104</f>
        <v>8.1</v>
      </c>
      <c r="C66" s="177" t="str">
        <f>PRZEDMIAR!C104</f>
        <v>08.01.01.12</v>
      </c>
      <c r="D66" s="177" t="str">
        <f>PRZEDMIAR!D104</f>
        <v>Ustawienie krawężników betonowych o wymiarach 15x30 cm na podsypce cementowo-piaskowej wraz z wykonaniem ławy betonowej z oporem V=0,06m3/mb na ławie na podsypce piaskowej 12cm w tym na zjazdach krawężniki najazdowe oraz skośne.</v>
      </c>
      <c r="E66" s="227" t="str">
        <f>PRZEDMIAR!E104</f>
        <v>m</v>
      </c>
      <c r="F66" s="178">
        <f>PRZEDMIAR!F104</f>
        <v>1632</v>
      </c>
      <c r="G66" s="185"/>
      <c r="H66" s="186">
        <f t="shared" ref="H66:H73" si="3">F66*G66</f>
        <v>0</v>
      </c>
    </row>
    <row r="67" spans="2:8" ht="51">
      <c r="B67" s="226" t="str">
        <f>PRZEDMIAR!B105</f>
        <v>8.2</v>
      </c>
      <c r="C67" s="177" t="str">
        <f>PRZEDMIAR!C105</f>
        <v>08.03.01.11</v>
      </c>
      <c r="D67" s="177" t="str">
        <f>PRZEDMIAR!D105</f>
        <v xml:space="preserve">Ustawienie obrzeży betonowych o wymiarach 20x6 cm na podsypce cem-piaskowej z wypełnieniem spoin piaskiem  obmiar wg tabeli </v>
      </c>
      <c r="E67" s="227" t="str">
        <f>PRZEDMIAR!E105</f>
        <v>m</v>
      </c>
      <c r="F67" s="178">
        <f>PRZEDMIAR!F105</f>
        <v>1187</v>
      </c>
      <c r="G67" s="185"/>
      <c r="H67" s="186"/>
    </row>
    <row r="68" spans="2:8" ht="38.25">
      <c r="B68" s="226" t="str">
        <f>PRZEDMIAR!B106</f>
        <v>8.3</v>
      </c>
      <c r="C68" s="177" t="str">
        <f>PRZEDMIAR!C106</f>
        <v>08.04.01.14</v>
      </c>
      <c r="D68" s="177" t="str">
        <f>PRZEDMIAR!D106</f>
        <v>Ułożenie kostki betonowej szarej gr.8cm na podsypce cem-piaskowej gr.5cm na zjazdach obmiar wg tabeli</v>
      </c>
      <c r="E68" s="227" t="str">
        <f>PRZEDMIAR!E106</f>
        <v>m2</v>
      </c>
      <c r="F68" s="178">
        <f>PRZEDMIAR!F106</f>
        <v>718.9</v>
      </c>
      <c r="G68" s="185"/>
      <c r="H68" s="186">
        <f t="shared" si="3"/>
        <v>0</v>
      </c>
    </row>
    <row r="69" spans="2:8" ht="38.25">
      <c r="B69" s="226" t="str">
        <f>PRZEDMIAR!B107</f>
        <v>8.4</v>
      </c>
      <c r="C69" s="177" t="str">
        <f>PRZEDMIAR!C107</f>
        <v>08.04.01.14</v>
      </c>
      <c r="D69" s="177" t="str">
        <f>PRZEDMIAR!D107</f>
        <v>Ułożenie kostki betonowej szarej gr.8cm na podsypce cem-piaskowej gr.3cm na zatokach postojowych</v>
      </c>
      <c r="E69" s="227" t="str">
        <f>PRZEDMIAR!E107</f>
        <v>m2</v>
      </c>
      <c r="F69" s="178">
        <f>PRZEDMIAR!F107</f>
        <v>830</v>
      </c>
      <c r="G69" s="185"/>
      <c r="H69" s="229">
        <f t="shared" si="3"/>
        <v>0</v>
      </c>
    </row>
    <row r="70" spans="2:8" ht="43.5" customHeight="1">
      <c r="B70" s="226" t="str">
        <f>PRZEDMIAR!B112</f>
        <v>8.5</v>
      </c>
      <c r="C70" s="177" t="str">
        <f>PRZEDMIAR!C112</f>
        <v>08.02.02.12</v>
      </c>
      <c r="D70" s="177" t="str">
        <f>PRZEDMIAR!D112</f>
        <v>Ułożenie kostki betonowej kolorowej gr.6cm na podsypce cem.piaskowej na chodnikach  obmiar wg tabeli</v>
      </c>
      <c r="E70" s="227" t="str">
        <f>PRZEDMIAR!E112</f>
        <v>m2</v>
      </c>
      <c r="F70" s="178">
        <f>PRZEDMIAR!F112</f>
        <v>1633.5</v>
      </c>
      <c r="G70" s="185"/>
      <c r="H70" s="186">
        <f t="shared" si="3"/>
        <v>0</v>
      </c>
    </row>
    <row r="71" spans="2:8" ht="63.75">
      <c r="B71" s="226" t="str">
        <f>PRZEDMIAR!B113</f>
        <v>8.6</v>
      </c>
      <c r="C71" s="177" t="str">
        <f>PRZEDMIAR!C113</f>
        <v>08.04.01.16</v>
      </c>
      <c r="D71" s="177" t="str">
        <f>PRZEDMIAR!D113</f>
        <v>Ułożenie ścieków ulicznych z kostki brukowej betonowej typu Holland 20x10x8 układane w dwóch rzędach  na ławie betonowej i podsypce piaskowej 12cm piaskowej</v>
      </c>
      <c r="E71" s="227" t="str">
        <f>PRZEDMIAR!E113</f>
        <v>m</v>
      </c>
      <c r="F71" s="178">
        <f>PRZEDMIAR!F113</f>
        <v>904</v>
      </c>
      <c r="G71" s="185"/>
      <c r="H71" s="186">
        <f t="shared" si="3"/>
        <v>0</v>
      </c>
    </row>
    <row r="72" spans="2:8" ht="38.25">
      <c r="B72" s="226" t="str">
        <f>PRZEDMIAR!B114</f>
        <v>8.7</v>
      </c>
      <c r="C72" s="177" t="str">
        <f>PRZEDMIAR!C114</f>
        <v>08.30.01.01</v>
      </c>
      <c r="D72" s="177" t="str">
        <f>PRZEDMIAR!D114</f>
        <v>Wymiana elementów oświetlenia ulicznego oprawy dla lamp typu LED wraz z wysięgnikami</v>
      </c>
      <c r="E72" s="227" t="str">
        <f>PRZEDMIAR!E114</f>
        <v>szt.</v>
      </c>
      <c r="F72" s="178">
        <f>PRZEDMIAR!F114</f>
        <v>10</v>
      </c>
      <c r="G72" s="183"/>
      <c r="H72" s="186">
        <f t="shared" si="3"/>
        <v>0</v>
      </c>
    </row>
    <row r="73" spans="2:8" ht="51">
      <c r="B73" s="226" t="str">
        <f>PRZEDMIAR!B120</f>
        <v>8.8</v>
      </c>
      <c r="C73" s="177" t="str">
        <f>PRZEDMIAR!C120</f>
        <v>08.30.02.01</v>
      </c>
      <c r="D73" s="177" t="str">
        <f>PRZEDMIAR!D120</f>
        <v xml:space="preserve">Przebudowa 2 słupów oświetlenia ulicznego wraz z niezbędnym odcinkiem linii energetycznej napowietrznej  wraz z uzgodnieniem w ZE </v>
      </c>
      <c r="E73" s="227" t="str">
        <f>PRZEDMIAR!E120</f>
        <v>kpl</v>
      </c>
      <c r="F73" s="178">
        <f>PRZEDMIAR!F120</f>
        <v>2</v>
      </c>
      <c r="G73" s="183"/>
      <c r="H73" s="186">
        <f t="shared" si="3"/>
        <v>0</v>
      </c>
    </row>
    <row r="74" spans="2:8" ht="13.5" thickBot="1">
      <c r="B74" s="180"/>
      <c r="C74" s="339"/>
      <c r="D74" s="339"/>
      <c r="E74" s="339"/>
      <c r="F74" s="339"/>
      <c r="G74" s="180" t="s">
        <v>87</v>
      </c>
      <c r="H74" s="188">
        <f>SUM(H66:H73)</f>
        <v>0</v>
      </c>
    </row>
    <row r="75" spans="2:8" ht="13.5" thickTop="1">
      <c r="B75" s="341" t="s">
        <v>88</v>
      </c>
      <c r="C75" s="342"/>
      <c r="D75" s="342"/>
      <c r="E75" s="342"/>
      <c r="F75" s="342"/>
      <c r="G75" s="343"/>
      <c r="H75" s="344">
        <f>H17+H20+H34+H39+H46+H58+H64+H74</f>
        <v>0</v>
      </c>
    </row>
    <row r="76" spans="2:8">
      <c r="B76" s="341" t="s">
        <v>89</v>
      </c>
      <c r="C76" s="342"/>
      <c r="D76" s="342"/>
      <c r="E76" s="342"/>
      <c r="F76" s="342"/>
      <c r="G76" s="343"/>
      <c r="H76" s="344">
        <f>H75*0.23</f>
        <v>0</v>
      </c>
    </row>
    <row r="77" spans="2:8" ht="13.5" thickBot="1">
      <c r="B77" s="345" t="s">
        <v>90</v>
      </c>
      <c r="C77" s="346"/>
      <c r="D77" s="346"/>
      <c r="E77" s="346"/>
      <c r="F77" s="346"/>
      <c r="G77" s="347"/>
      <c r="H77" s="188">
        <f>H75+H76</f>
        <v>0</v>
      </c>
    </row>
    <row r="78" spans="2:8" ht="13.5" thickTop="1"/>
    <row r="80" spans="2:8">
      <c r="B80" s="329" t="s">
        <v>65</v>
      </c>
    </row>
    <row r="83" spans="6:6" ht="20.25" customHeight="1"/>
    <row r="84" spans="6:6">
      <c r="F84" s="332" t="s">
        <v>355</v>
      </c>
    </row>
  </sheetData>
  <sheetProtection password="CAC3" sheet="1" objects="1" scenarios="1"/>
  <mergeCells count="3">
    <mergeCell ref="B77:G77"/>
    <mergeCell ref="B75:G75"/>
    <mergeCell ref="B76:G76"/>
  </mergeCells>
  <phoneticPr fontId="2" type="noConversion"/>
  <pageMargins left="0.3" right="0.23" top="0.78740157480314965" bottom="0.62" header="0.35433070866141736" footer="0.36"/>
  <pageSetup paperSize="9" orientation="portrait" r:id="rId1"/>
  <headerFooter alignWithMargins="0">
    <oddHeader xml:space="preserve">&amp;C&amp;"Arial,Pogrubiony"&amp;11Kosztorys ofertowy
Przebudowa ulicy Krótka, Partyzantów, P.P. Brzozy i Kanonijakiej w Skalbmierzu.&amp;"Arial,Normalny"&amp;10
 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1"/>
  <sheetViews>
    <sheetView showGridLines="0" topLeftCell="A23" workbookViewId="0">
      <selection activeCell="G40" sqref="G40"/>
    </sheetView>
  </sheetViews>
  <sheetFormatPr defaultRowHeight="12.75"/>
  <cols>
    <col min="6" max="6" width="12.140625" customWidth="1"/>
    <col min="7" max="7" width="12" customWidth="1"/>
    <col min="8" max="8" width="11.42578125" customWidth="1"/>
    <col min="9" max="9" width="13.140625" customWidth="1"/>
    <col min="10" max="10" width="11.28515625" customWidth="1"/>
  </cols>
  <sheetData>
    <row r="3" spans="2:10" ht="15">
      <c r="B3" s="306" t="s">
        <v>195</v>
      </c>
      <c r="C3" s="306"/>
      <c r="D3" s="306"/>
      <c r="E3" s="306"/>
      <c r="F3" s="306"/>
      <c r="G3" s="306"/>
      <c r="H3" s="306"/>
      <c r="I3" s="306"/>
      <c r="J3" s="306"/>
    </row>
    <row r="4" spans="2:10">
      <c r="C4" s="65"/>
      <c r="D4" s="65"/>
      <c r="E4" s="65"/>
      <c r="F4" s="65"/>
      <c r="G4" s="65"/>
      <c r="H4" s="65"/>
      <c r="I4" s="65"/>
      <c r="J4" s="65"/>
    </row>
    <row r="5" spans="2:10">
      <c r="C5" s="65"/>
      <c r="D5" s="65"/>
      <c r="E5" s="65"/>
      <c r="F5" s="65"/>
      <c r="G5" s="65"/>
      <c r="H5" s="65"/>
      <c r="I5" s="65"/>
      <c r="J5" s="65"/>
    </row>
    <row r="6" spans="2:10" ht="20.25" customHeight="1">
      <c r="C6" s="311"/>
      <c r="D6" s="312"/>
      <c r="E6" s="312"/>
      <c r="F6" s="312"/>
      <c r="G6" s="312"/>
      <c r="H6" s="312"/>
      <c r="I6" s="312"/>
      <c r="J6" s="312"/>
    </row>
    <row r="7" spans="2:10">
      <c r="B7" s="51"/>
      <c r="C7" s="51"/>
      <c r="D7" s="313" t="s">
        <v>196</v>
      </c>
      <c r="E7" s="274"/>
      <c r="F7" s="274"/>
      <c r="G7" s="274"/>
      <c r="H7" s="98"/>
      <c r="I7" s="98"/>
      <c r="J7" s="55"/>
    </row>
    <row r="8" spans="2:10">
      <c r="B8" s="275"/>
      <c r="C8" s="275"/>
      <c r="D8" s="51" t="s">
        <v>132</v>
      </c>
      <c r="E8" s="51" t="s">
        <v>157</v>
      </c>
      <c r="F8" s="55" t="s">
        <v>158</v>
      </c>
      <c r="G8" s="51" t="s">
        <v>134</v>
      </c>
      <c r="H8" s="110" t="s">
        <v>214</v>
      </c>
      <c r="I8" s="98" t="s">
        <v>201</v>
      </c>
      <c r="J8" s="114" t="s">
        <v>211</v>
      </c>
    </row>
    <row r="9" spans="2:10" ht="14.25">
      <c r="B9" s="55" t="s">
        <v>162</v>
      </c>
      <c r="C9" s="55" t="s">
        <v>171</v>
      </c>
      <c r="D9" s="58" t="s">
        <v>12</v>
      </c>
      <c r="E9" s="58" t="s">
        <v>12</v>
      </c>
      <c r="F9" s="58" t="s">
        <v>12</v>
      </c>
      <c r="G9" s="58" t="s">
        <v>163</v>
      </c>
      <c r="H9" s="58" t="s">
        <v>163</v>
      </c>
      <c r="I9" s="58" t="s">
        <v>163</v>
      </c>
      <c r="J9" s="58"/>
    </row>
    <row r="10" spans="2:10">
      <c r="B10" s="271">
        <v>28</v>
      </c>
      <c r="C10" s="271">
        <v>80</v>
      </c>
      <c r="D10" s="271">
        <f>C10-B10</f>
        <v>52</v>
      </c>
      <c r="E10" s="60">
        <v>5</v>
      </c>
      <c r="F10" s="269">
        <f>(E11+E10)/2</f>
        <v>5</v>
      </c>
      <c r="G10" s="269">
        <f>D10*F10</f>
        <v>260</v>
      </c>
      <c r="H10" s="269">
        <f>5*14+7.74*2</f>
        <v>85.48</v>
      </c>
      <c r="I10" s="269">
        <f>G10+H10</f>
        <v>345.48</v>
      </c>
      <c r="J10" s="286" t="s">
        <v>202</v>
      </c>
    </row>
    <row r="11" spans="2:10">
      <c r="B11" s="272"/>
      <c r="C11" s="272"/>
      <c r="D11" s="272"/>
      <c r="E11" s="60">
        <v>5</v>
      </c>
      <c r="F11" s="270"/>
      <c r="G11" s="270"/>
      <c r="H11" s="270"/>
      <c r="I11" s="270"/>
      <c r="J11" s="272"/>
    </row>
    <row r="12" spans="2:10">
      <c r="B12" s="271">
        <v>80</v>
      </c>
      <c r="C12" s="271">
        <v>100</v>
      </c>
      <c r="D12" s="271">
        <f>C12-B12</f>
        <v>20</v>
      </c>
      <c r="E12" s="60">
        <v>5</v>
      </c>
      <c r="F12" s="269">
        <f>(E13+E12)/2</f>
        <v>5.5</v>
      </c>
      <c r="G12" s="269">
        <f>D12*F12</f>
        <v>110</v>
      </c>
      <c r="H12" s="269"/>
      <c r="I12" s="269">
        <f>G12+H12</f>
        <v>110</v>
      </c>
      <c r="J12" s="286" t="s">
        <v>202</v>
      </c>
    </row>
    <row r="13" spans="2:10">
      <c r="B13" s="272"/>
      <c r="C13" s="272"/>
      <c r="D13" s="272"/>
      <c r="E13" s="60">
        <v>6</v>
      </c>
      <c r="F13" s="270"/>
      <c r="G13" s="270"/>
      <c r="H13" s="270"/>
      <c r="I13" s="270"/>
      <c r="J13" s="272"/>
    </row>
    <row r="14" spans="2:10">
      <c r="B14" s="276">
        <v>100</v>
      </c>
      <c r="C14" s="271">
        <v>198</v>
      </c>
      <c r="D14" s="271">
        <f>C14-B14</f>
        <v>98</v>
      </c>
      <c r="E14" s="60">
        <v>6</v>
      </c>
      <c r="F14" s="269">
        <f>(E15+E14)/2</f>
        <v>6</v>
      </c>
      <c r="G14" s="269">
        <f>D14*F14</f>
        <v>588</v>
      </c>
      <c r="H14" s="269">
        <v>0</v>
      </c>
      <c r="I14" s="269">
        <f>G14+H14</f>
        <v>588</v>
      </c>
      <c r="J14" s="286" t="s">
        <v>202</v>
      </c>
    </row>
    <row r="15" spans="2:10">
      <c r="B15" s="272"/>
      <c r="C15" s="272"/>
      <c r="D15" s="272"/>
      <c r="E15" s="60">
        <v>6</v>
      </c>
      <c r="F15" s="270"/>
      <c r="G15" s="270"/>
      <c r="H15" s="270"/>
      <c r="I15" s="270"/>
      <c r="J15" s="272"/>
    </row>
    <row r="16" spans="2:10">
      <c r="B16" s="271"/>
      <c r="C16" s="271"/>
      <c r="D16" s="271"/>
      <c r="E16" s="60"/>
      <c r="F16" s="269"/>
      <c r="G16" s="269"/>
      <c r="H16" s="269"/>
      <c r="I16" s="269"/>
      <c r="J16" s="286"/>
    </row>
    <row r="17" spans="2:10">
      <c r="B17" s="272"/>
      <c r="C17" s="272"/>
      <c r="D17" s="272"/>
      <c r="E17" s="60"/>
      <c r="F17" s="270"/>
      <c r="G17" s="270"/>
      <c r="H17" s="270"/>
      <c r="I17" s="270"/>
      <c r="J17" s="272"/>
    </row>
    <row r="18" spans="2:10">
      <c r="B18" s="271">
        <v>0</v>
      </c>
      <c r="C18" s="271">
        <v>60</v>
      </c>
      <c r="D18" s="271">
        <f>C18-B18</f>
        <v>60</v>
      </c>
      <c r="E18" s="60">
        <v>6</v>
      </c>
      <c r="F18" s="269">
        <f>(E19+E18)/2</f>
        <v>6</v>
      </c>
      <c r="G18" s="269">
        <f>D18*F18</f>
        <v>360</v>
      </c>
      <c r="H18" s="269">
        <f>7.74*2</f>
        <v>15.48</v>
      </c>
      <c r="I18" s="269">
        <f>G18+H18</f>
        <v>375.48</v>
      </c>
      <c r="J18" s="286" t="s">
        <v>207</v>
      </c>
    </row>
    <row r="19" spans="2:10">
      <c r="B19" s="272"/>
      <c r="C19" s="272"/>
      <c r="D19" s="272"/>
      <c r="E19" s="60">
        <v>6</v>
      </c>
      <c r="F19" s="270"/>
      <c r="G19" s="270"/>
      <c r="H19" s="270"/>
      <c r="I19" s="270"/>
      <c r="J19" s="272"/>
    </row>
    <row r="20" spans="2:10">
      <c r="B20" s="271">
        <v>60</v>
      </c>
      <c r="C20" s="271">
        <v>83</v>
      </c>
      <c r="D20" s="271">
        <f>C20-B20</f>
        <v>23</v>
      </c>
      <c r="E20" s="60">
        <v>6</v>
      </c>
      <c r="F20" s="269">
        <f>(E21+E20)/2</f>
        <v>5.75</v>
      </c>
      <c r="G20" s="269">
        <f>D20*F20</f>
        <v>132.25</v>
      </c>
      <c r="H20" s="269"/>
      <c r="I20" s="269">
        <f>G20+H20</f>
        <v>132.25</v>
      </c>
      <c r="J20" s="286" t="s">
        <v>207</v>
      </c>
    </row>
    <row r="21" spans="2:10">
      <c r="B21" s="272"/>
      <c r="C21" s="272"/>
      <c r="D21" s="272"/>
      <c r="E21" s="60">
        <v>5.5</v>
      </c>
      <c r="F21" s="270"/>
      <c r="G21" s="270"/>
      <c r="H21" s="270"/>
      <c r="I21" s="270"/>
      <c r="J21" s="272"/>
    </row>
    <row r="22" spans="2:10">
      <c r="B22" s="271">
        <v>83</v>
      </c>
      <c r="C22" s="271">
        <v>110</v>
      </c>
      <c r="D22" s="271">
        <f>C22-B22</f>
        <v>27</v>
      </c>
      <c r="E22" s="60">
        <v>5.5</v>
      </c>
      <c r="F22" s="269">
        <f>(E23+E22)/2</f>
        <v>5.5</v>
      </c>
      <c r="G22" s="269">
        <f>D22*F22</f>
        <v>148.5</v>
      </c>
      <c r="H22" s="269"/>
      <c r="I22" s="269">
        <f>G22+H22</f>
        <v>148.5</v>
      </c>
      <c r="J22" s="286" t="s">
        <v>207</v>
      </c>
    </row>
    <row r="23" spans="2:10">
      <c r="B23" s="272"/>
      <c r="C23" s="272"/>
      <c r="D23" s="272"/>
      <c r="E23" s="60">
        <v>5.5</v>
      </c>
      <c r="F23" s="270"/>
      <c r="G23" s="270"/>
      <c r="H23" s="270"/>
      <c r="I23" s="270"/>
      <c r="J23" s="272"/>
    </row>
    <row r="24" spans="2:10">
      <c r="B24" s="271">
        <v>110</v>
      </c>
      <c r="C24" s="271">
        <v>130</v>
      </c>
      <c r="D24" s="271">
        <f>C24-B24</f>
        <v>20</v>
      </c>
      <c r="E24" s="60">
        <v>5.5</v>
      </c>
      <c r="F24" s="269">
        <f>(E25+E24)/2</f>
        <v>5.75</v>
      </c>
      <c r="G24" s="269">
        <f>D24*F24</f>
        <v>115</v>
      </c>
      <c r="H24" s="269"/>
      <c r="I24" s="269">
        <f>G24+H24</f>
        <v>115</v>
      </c>
      <c r="J24" s="286" t="s">
        <v>207</v>
      </c>
    </row>
    <row r="25" spans="2:10">
      <c r="B25" s="272"/>
      <c r="C25" s="272"/>
      <c r="D25" s="272"/>
      <c r="E25" s="60">
        <v>6</v>
      </c>
      <c r="F25" s="270"/>
      <c r="G25" s="270"/>
      <c r="H25" s="270"/>
      <c r="I25" s="270"/>
      <c r="J25" s="272"/>
    </row>
    <row r="26" spans="2:10">
      <c r="B26" s="271">
        <v>130</v>
      </c>
      <c r="C26" s="271">
        <v>517</v>
      </c>
      <c r="D26" s="271">
        <f>C26-B26</f>
        <v>387</v>
      </c>
      <c r="E26" s="60">
        <v>6</v>
      </c>
      <c r="F26" s="269">
        <f>(E27+E26)/2</f>
        <v>6</v>
      </c>
      <c r="G26" s="269">
        <f>D26*F26</f>
        <v>2322</v>
      </c>
      <c r="H26" s="269">
        <v>80</v>
      </c>
      <c r="I26" s="269">
        <f>G26+H26</f>
        <v>2402</v>
      </c>
      <c r="J26" s="286" t="s">
        <v>207</v>
      </c>
    </row>
    <row r="27" spans="2:10">
      <c r="B27" s="272"/>
      <c r="C27" s="272"/>
      <c r="D27" s="272"/>
      <c r="E27" s="60">
        <v>6</v>
      </c>
      <c r="F27" s="270"/>
      <c r="G27" s="270"/>
      <c r="H27" s="270"/>
      <c r="I27" s="270"/>
      <c r="J27" s="272"/>
    </row>
    <row r="28" spans="2:10">
      <c r="B28" s="271">
        <v>0</v>
      </c>
      <c r="C28" s="271">
        <v>67</v>
      </c>
      <c r="D28" s="271">
        <f>C28-B28</f>
        <v>67</v>
      </c>
      <c r="E28" s="60">
        <v>5</v>
      </c>
      <c r="F28" s="269">
        <f>(E29+E28)/2</f>
        <v>5</v>
      </c>
      <c r="G28" s="269">
        <f>D28*F28</f>
        <v>335</v>
      </c>
      <c r="H28" s="269"/>
      <c r="I28" s="269">
        <f>G28+H28</f>
        <v>335</v>
      </c>
      <c r="J28" s="271" t="s">
        <v>213</v>
      </c>
    </row>
    <row r="29" spans="2:10">
      <c r="B29" s="272"/>
      <c r="C29" s="272"/>
      <c r="D29" s="272"/>
      <c r="E29" s="60">
        <v>5</v>
      </c>
      <c r="F29" s="270"/>
      <c r="G29" s="270"/>
      <c r="H29" s="270"/>
      <c r="I29" s="270"/>
      <c r="J29" s="272"/>
    </row>
    <row r="30" spans="2:10">
      <c r="B30" s="271">
        <v>0</v>
      </c>
      <c r="C30" s="271">
        <v>13</v>
      </c>
      <c r="D30" s="271">
        <f>C30-B30</f>
        <v>13</v>
      </c>
      <c r="E30" s="60">
        <v>3.5</v>
      </c>
      <c r="F30" s="269">
        <f>(E31+E30)/2</f>
        <v>3.5</v>
      </c>
      <c r="G30" s="269">
        <f>D30*F30</f>
        <v>45.5</v>
      </c>
      <c r="H30" s="269">
        <v>50</v>
      </c>
      <c r="I30" s="269">
        <f>G30+H30</f>
        <v>95.5</v>
      </c>
      <c r="J30" s="271" t="s">
        <v>204</v>
      </c>
    </row>
    <row r="31" spans="2:10">
      <c r="B31" s="272"/>
      <c r="C31" s="272"/>
      <c r="D31" s="272"/>
      <c r="E31" s="60">
        <v>3.5</v>
      </c>
      <c r="F31" s="270"/>
      <c r="G31" s="270"/>
      <c r="H31" s="270"/>
      <c r="I31" s="270"/>
      <c r="J31" s="272"/>
    </row>
    <row r="32" spans="2:10">
      <c r="B32" s="271">
        <v>13</v>
      </c>
      <c r="C32" s="271">
        <v>167</v>
      </c>
      <c r="D32" s="271">
        <f>C32-B32</f>
        <v>154</v>
      </c>
      <c r="E32" s="60">
        <v>3.5</v>
      </c>
      <c r="F32" s="269">
        <f t="shared" ref="F32" si="0">(E33+E32)/2</f>
        <v>3.5</v>
      </c>
      <c r="G32" s="269" t="s">
        <v>140</v>
      </c>
      <c r="H32" s="269"/>
      <c r="I32" s="269"/>
      <c r="J32" s="286" t="s">
        <v>204</v>
      </c>
    </row>
    <row r="33" spans="2:10">
      <c r="B33" s="272"/>
      <c r="C33" s="272"/>
      <c r="D33" s="272"/>
      <c r="E33" s="60">
        <v>3.5</v>
      </c>
      <c r="F33" s="270"/>
      <c r="G33" s="270"/>
      <c r="H33" s="270"/>
      <c r="I33" s="270"/>
      <c r="J33" s="272"/>
    </row>
    <row r="34" spans="2:10">
      <c r="B34" s="271">
        <v>167</v>
      </c>
      <c r="C34" s="271">
        <v>175</v>
      </c>
      <c r="D34" s="271">
        <f>C34-B34</f>
        <v>8</v>
      </c>
      <c r="E34" s="60">
        <v>3.5</v>
      </c>
      <c r="F34" s="269">
        <f t="shared" ref="F34" si="1">(E35+E34)/2</f>
        <v>3.5</v>
      </c>
      <c r="G34" s="269">
        <f>D34*F34</f>
        <v>28</v>
      </c>
      <c r="H34" s="269">
        <f>2*7.7</f>
        <v>15.4</v>
      </c>
      <c r="I34" s="269">
        <f t="shared" ref="I34" si="2">G34+H34</f>
        <v>43.4</v>
      </c>
      <c r="J34" s="271" t="s">
        <v>204</v>
      </c>
    </row>
    <row r="35" spans="2:10">
      <c r="B35" s="272"/>
      <c r="C35" s="272"/>
      <c r="D35" s="272"/>
      <c r="E35" s="60">
        <v>3.5</v>
      </c>
      <c r="F35" s="270"/>
      <c r="G35" s="270"/>
      <c r="H35" s="270"/>
      <c r="I35" s="270"/>
      <c r="J35" s="272"/>
    </row>
    <row r="36" spans="2:10">
      <c r="B36" s="271">
        <v>0</v>
      </c>
      <c r="C36" s="271">
        <v>43</v>
      </c>
      <c r="D36" s="271">
        <f>C36-B36</f>
        <v>43</v>
      </c>
      <c r="E36" s="60">
        <v>6</v>
      </c>
      <c r="F36" s="269">
        <f>(E37+E36)/2</f>
        <v>6</v>
      </c>
      <c r="G36" s="269">
        <f>D36*F36</f>
        <v>258</v>
      </c>
      <c r="H36" s="269"/>
      <c r="I36" s="269">
        <f>G36+H36</f>
        <v>258</v>
      </c>
      <c r="J36" s="271" t="s">
        <v>218</v>
      </c>
    </row>
    <row r="37" spans="2:10">
      <c r="B37" s="272"/>
      <c r="C37" s="272"/>
      <c r="D37" s="272"/>
      <c r="E37" s="60">
        <v>6</v>
      </c>
      <c r="F37" s="270"/>
      <c r="G37" s="270"/>
      <c r="H37" s="270"/>
      <c r="I37" s="270"/>
      <c r="J37" s="272"/>
    </row>
    <row r="38" spans="2:10">
      <c r="C38" s="65"/>
      <c r="D38" s="91">
        <f>SUM(D10:D37)</f>
        <v>972</v>
      </c>
      <c r="E38" s="92"/>
      <c r="F38" s="93" t="s">
        <v>142</v>
      </c>
      <c r="G38" s="94">
        <f>SUM(G10:G37)</f>
        <v>4702.25</v>
      </c>
      <c r="H38" s="94">
        <f>SUM(H10:H37)</f>
        <v>246.36</v>
      </c>
      <c r="I38" s="94">
        <f>SUM(I10:I37)</f>
        <v>4948.6099999999997</v>
      </c>
      <c r="J38" s="65"/>
    </row>
    <row r="40" spans="2:10">
      <c r="B40" s="310" t="s">
        <v>197</v>
      </c>
      <c r="C40" s="310"/>
      <c r="D40" s="310"/>
      <c r="E40" s="310"/>
      <c r="F40" s="310"/>
      <c r="G40" s="10">
        <f>'T4 Holland'!H18</f>
        <v>180.8</v>
      </c>
      <c r="H40" s="10"/>
      <c r="I40" s="10"/>
    </row>
    <row r="41" spans="2:10">
      <c r="B41" s="309" t="s">
        <v>198</v>
      </c>
      <c r="C41" s="294"/>
      <c r="D41" s="294"/>
      <c r="E41" s="294"/>
      <c r="F41" s="294"/>
      <c r="G41" s="95">
        <f>I38-G40</f>
        <v>4767.8100000000004</v>
      </c>
      <c r="H41" s="95"/>
      <c r="I41" s="95"/>
    </row>
  </sheetData>
  <sheetProtection password="CAC3" sheet="1" objects="1" scenarios="1"/>
  <mergeCells count="118">
    <mergeCell ref="C22:C23"/>
    <mergeCell ref="D22:D23"/>
    <mergeCell ref="B20:B21"/>
    <mergeCell ref="C20:C21"/>
    <mergeCell ref="B40:F40"/>
    <mergeCell ref="B41:F41"/>
    <mergeCell ref="B36:B37"/>
    <mergeCell ref="C36:C37"/>
    <mergeCell ref="D36:D37"/>
    <mergeCell ref="F36:F37"/>
    <mergeCell ref="D32:D33"/>
    <mergeCell ref="B24:B25"/>
    <mergeCell ref="C24:C25"/>
    <mergeCell ref="D24:D25"/>
    <mergeCell ref="B32:B33"/>
    <mergeCell ref="C32:C33"/>
    <mergeCell ref="B26:B27"/>
    <mergeCell ref="C26:C27"/>
    <mergeCell ref="B30:B31"/>
    <mergeCell ref="C30:C31"/>
    <mergeCell ref="D30:D31"/>
    <mergeCell ref="B28:B29"/>
    <mergeCell ref="C28:C29"/>
    <mergeCell ref="D28:D29"/>
    <mergeCell ref="J36:J37"/>
    <mergeCell ref="B18:B19"/>
    <mergeCell ref="C18:C19"/>
    <mergeCell ref="D18:D19"/>
    <mergeCell ref="F18:F19"/>
    <mergeCell ref="G18:G19"/>
    <mergeCell ref="H18:H19"/>
    <mergeCell ref="I18:I19"/>
    <mergeCell ref="J18:J19"/>
    <mergeCell ref="H30:H31"/>
    <mergeCell ref="G24:G25"/>
    <mergeCell ref="F24:F25"/>
    <mergeCell ref="F26:F27"/>
    <mergeCell ref="J24:J25"/>
    <mergeCell ref="G26:G27"/>
    <mergeCell ref="J26:J27"/>
    <mergeCell ref="H24:H25"/>
    <mergeCell ref="B34:B35"/>
    <mergeCell ref="C34:C35"/>
    <mergeCell ref="D34:D35"/>
    <mergeCell ref="F34:F35"/>
    <mergeCell ref="G34:G35"/>
    <mergeCell ref="J34:J35"/>
    <mergeCell ref="B22:B23"/>
    <mergeCell ref="H34:H35"/>
    <mergeCell ref="I34:I35"/>
    <mergeCell ref="I36:I37"/>
    <mergeCell ref="H36:H37"/>
    <mergeCell ref="H32:H33"/>
    <mergeCell ref="I24:I25"/>
    <mergeCell ref="I26:I27"/>
    <mergeCell ref="I32:I33"/>
    <mergeCell ref="F30:F31"/>
    <mergeCell ref="G30:G31"/>
    <mergeCell ref="I30:I31"/>
    <mergeCell ref="H26:H27"/>
    <mergeCell ref="G36:G37"/>
    <mergeCell ref="J30:J31"/>
    <mergeCell ref="F28:F29"/>
    <mergeCell ref="G28:G29"/>
    <mergeCell ref="H28:H29"/>
    <mergeCell ref="I28:I29"/>
    <mergeCell ref="J28:J29"/>
    <mergeCell ref="G32:G33"/>
    <mergeCell ref="J32:J33"/>
    <mergeCell ref="F32:F33"/>
    <mergeCell ref="D26:D27"/>
    <mergeCell ref="D20:D21"/>
    <mergeCell ref="F20:F21"/>
    <mergeCell ref="J22:J23"/>
    <mergeCell ref="I20:I21"/>
    <mergeCell ref="H20:H21"/>
    <mergeCell ref="G14:G15"/>
    <mergeCell ref="J20:J21"/>
    <mergeCell ref="G20:G21"/>
    <mergeCell ref="G16:G17"/>
    <mergeCell ref="J14:J15"/>
    <mergeCell ref="J16:J17"/>
    <mergeCell ref="G22:G23"/>
    <mergeCell ref="H22:H23"/>
    <mergeCell ref="I22:I23"/>
    <mergeCell ref="I14:I15"/>
    <mergeCell ref="I16:I17"/>
    <mergeCell ref="H14:H15"/>
    <mergeCell ref="H16:H17"/>
    <mergeCell ref="F22:F23"/>
    <mergeCell ref="B14:B15"/>
    <mergeCell ref="C14:C15"/>
    <mergeCell ref="D14:D15"/>
    <mergeCell ref="F14:F15"/>
    <mergeCell ref="B16:B17"/>
    <mergeCell ref="C16:C17"/>
    <mergeCell ref="D16:D17"/>
    <mergeCell ref="F16:F17"/>
    <mergeCell ref="D12:D13"/>
    <mergeCell ref="F12:F13"/>
    <mergeCell ref="B3:J3"/>
    <mergeCell ref="C6:J6"/>
    <mergeCell ref="D7:G7"/>
    <mergeCell ref="B8:C8"/>
    <mergeCell ref="G12:G13"/>
    <mergeCell ref="J10:J11"/>
    <mergeCell ref="G10:G11"/>
    <mergeCell ref="B10:B11"/>
    <mergeCell ref="C10:C11"/>
    <mergeCell ref="D10:D11"/>
    <mergeCell ref="F10:F11"/>
    <mergeCell ref="J12:J13"/>
    <mergeCell ref="B12:B13"/>
    <mergeCell ref="C12:C13"/>
    <mergeCell ref="I10:I11"/>
    <mergeCell ref="I12:I13"/>
    <mergeCell ref="H10:H11"/>
    <mergeCell ref="H12:H13"/>
  </mergeCells>
  <phoneticPr fontId="2" type="noConversion"/>
  <pageMargins left="0.75" right="0.75" top="1" bottom="1" header="0.5" footer="0.5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68"/>
  <sheetViews>
    <sheetView showGridLines="0" topLeftCell="A19" workbookViewId="0">
      <selection activeCell="H29" sqref="H29"/>
    </sheetView>
  </sheetViews>
  <sheetFormatPr defaultRowHeight="12.75"/>
  <cols>
    <col min="1" max="1" width="6.28515625" customWidth="1"/>
    <col min="2" max="2" width="5.7109375" customWidth="1"/>
    <col min="5" max="5" width="11.7109375" customWidth="1"/>
    <col min="6" max="6" width="9.140625" style="79"/>
    <col min="7" max="7" width="8.7109375" customWidth="1"/>
    <col min="8" max="8" width="13.42578125" customWidth="1"/>
  </cols>
  <sheetData>
    <row r="4" spans="2:8">
      <c r="B4" s="107" t="s">
        <v>248</v>
      </c>
    </row>
    <row r="5" spans="2:8">
      <c r="B5" s="107"/>
    </row>
    <row r="6" spans="2:8">
      <c r="B6" s="143">
        <v>1</v>
      </c>
      <c r="C6" s="317" t="s">
        <v>264</v>
      </c>
      <c r="D6" s="318"/>
      <c r="E6" s="318"/>
      <c r="F6" s="318"/>
      <c r="G6" s="319"/>
      <c r="H6" s="144" t="s">
        <v>181</v>
      </c>
    </row>
    <row r="7" spans="2:8">
      <c r="B7" s="142"/>
      <c r="C7" s="132" t="s">
        <v>241</v>
      </c>
      <c r="D7" s="133"/>
      <c r="E7" s="133"/>
      <c r="F7" s="97"/>
      <c r="G7" s="134"/>
      <c r="H7" s="314" t="s">
        <v>244</v>
      </c>
    </row>
    <row r="8" spans="2:8">
      <c r="B8" s="142"/>
      <c r="C8" s="131" t="s">
        <v>7</v>
      </c>
      <c r="D8" s="131" t="s">
        <v>238</v>
      </c>
      <c r="E8" s="131" t="s">
        <v>239</v>
      </c>
      <c r="F8" s="96">
        <v>203</v>
      </c>
      <c r="G8" s="139"/>
      <c r="H8" s="315"/>
    </row>
    <row r="9" spans="2:8">
      <c r="B9" s="142"/>
      <c r="C9" s="135"/>
      <c r="D9" s="136"/>
      <c r="E9" s="130" t="s">
        <v>247</v>
      </c>
      <c r="F9" s="96">
        <v>201.95</v>
      </c>
      <c r="G9" s="140"/>
      <c r="H9" s="315"/>
    </row>
    <row r="10" spans="2:8">
      <c r="B10" s="142"/>
      <c r="C10" s="137"/>
      <c r="D10" s="138"/>
      <c r="E10" s="130" t="s">
        <v>240</v>
      </c>
      <c r="F10" s="96">
        <f>F8-F9</f>
        <v>1.05</v>
      </c>
      <c r="G10" s="141"/>
      <c r="H10" s="316"/>
    </row>
    <row r="11" spans="2:8">
      <c r="B11" s="143">
        <v>2</v>
      </c>
      <c r="C11" s="317" t="s">
        <v>264</v>
      </c>
      <c r="D11" s="318"/>
      <c r="E11" s="318"/>
      <c r="F11" s="318"/>
      <c r="G11" s="319"/>
      <c r="H11" s="314" t="s">
        <v>244</v>
      </c>
    </row>
    <row r="12" spans="2:8">
      <c r="B12" s="140"/>
      <c r="C12" s="132" t="s">
        <v>241</v>
      </c>
      <c r="D12" s="133"/>
      <c r="E12" s="133"/>
      <c r="F12" s="97"/>
      <c r="G12" s="134"/>
      <c r="H12" s="315"/>
    </row>
    <row r="13" spans="2:8">
      <c r="B13" s="140"/>
      <c r="C13" s="131" t="s">
        <v>7</v>
      </c>
      <c r="D13" s="131" t="s">
        <v>270</v>
      </c>
      <c r="E13" s="131" t="s">
        <v>239</v>
      </c>
      <c r="F13" s="96">
        <v>203.31</v>
      </c>
      <c r="G13" s="139"/>
      <c r="H13" s="315"/>
    </row>
    <row r="14" spans="2:8">
      <c r="B14" s="140"/>
      <c r="C14" s="135"/>
      <c r="D14" s="136"/>
      <c r="E14" s="130" t="s">
        <v>247</v>
      </c>
      <c r="F14" s="96">
        <v>202.18</v>
      </c>
      <c r="G14" s="140"/>
      <c r="H14" s="315"/>
    </row>
    <row r="15" spans="2:8">
      <c r="B15" s="141"/>
      <c r="C15" s="137"/>
      <c r="D15" s="138"/>
      <c r="E15" s="130" t="s">
        <v>240</v>
      </c>
      <c r="F15" s="96">
        <f>F13-F14</f>
        <v>1.1299999999999999</v>
      </c>
      <c r="G15" s="141"/>
      <c r="H15" s="316"/>
    </row>
    <row r="16" spans="2:8" ht="12.75" customHeight="1">
      <c r="B16" s="143">
        <v>3</v>
      </c>
      <c r="C16" s="317" t="s">
        <v>264</v>
      </c>
      <c r="D16" s="318"/>
      <c r="E16" s="318"/>
      <c r="F16" s="318"/>
      <c r="G16" s="319"/>
      <c r="H16" s="314" t="s">
        <v>244</v>
      </c>
    </row>
    <row r="17" spans="2:8">
      <c r="B17" s="140"/>
      <c r="C17" s="132" t="s">
        <v>241</v>
      </c>
      <c r="D17" s="133"/>
      <c r="E17" s="133"/>
      <c r="F17" s="97"/>
      <c r="G17" s="134"/>
      <c r="H17" s="315"/>
    </row>
    <row r="18" spans="2:8">
      <c r="B18" s="140"/>
      <c r="C18" s="131" t="s">
        <v>7</v>
      </c>
      <c r="D18" s="130" t="s">
        <v>246</v>
      </c>
      <c r="E18" s="131" t="s">
        <v>239</v>
      </c>
      <c r="F18" s="96">
        <v>203.45</v>
      </c>
      <c r="G18" s="139"/>
      <c r="H18" s="315"/>
    </row>
    <row r="19" spans="2:8">
      <c r="B19" s="140"/>
      <c r="C19" s="135"/>
      <c r="D19" s="136"/>
      <c r="E19" s="130" t="s">
        <v>247</v>
      </c>
      <c r="F19" s="96">
        <v>202.32</v>
      </c>
      <c r="G19" s="140"/>
      <c r="H19" s="315"/>
    </row>
    <row r="20" spans="2:8">
      <c r="B20" s="141"/>
      <c r="C20" s="137"/>
      <c r="D20" s="138"/>
      <c r="E20" s="130" t="s">
        <v>240</v>
      </c>
      <c r="F20" s="96">
        <f>F18-F19</f>
        <v>1.1299999999999999</v>
      </c>
      <c r="G20" s="141"/>
      <c r="H20" s="316"/>
    </row>
    <row r="21" spans="2:8">
      <c r="B21" s="143">
        <v>4</v>
      </c>
      <c r="C21" s="317" t="s">
        <v>243</v>
      </c>
      <c r="D21" s="318"/>
      <c r="E21" s="318"/>
      <c r="F21" s="318"/>
      <c r="G21" s="319"/>
      <c r="H21" s="314" t="s">
        <v>242</v>
      </c>
    </row>
    <row r="22" spans="2:8">
      <c r="B22" s="140"/>
      <c r="C22" s="132" t="s">
        <v>241</v>
      </c>
      <c r="D22" s="133"/>
      <c r="E22" s="133"/>
      <c r="F22" s="97"/>
      <c r="G22" s="134"/>
      <c r="H22" s="315"/>
    </row>
    <row r="23" spans="2:8">
      <c r="B23" s="140"/>
      <c r="C23" s="131" t="s">
        <v>7</v>
      </c>
      <c r="D23" s="130" t="s">
        <v>245</v>
      </c>
      <c r="E23" s="131" t="s">
        <v>239</v>
      </c>
      <c r="F23" s="96">
        <v>203.85</v>
      </c>
      <c r="G23" s="139"/>
      <c r="H23" s="315"/>
    </row>
    <row r="24" spans="2:8">
      <c r="B24" s="140"/>
      <c r="C24" s="135"/>
      <c r="D24" s="136"/>
      <c r="E24" s="130" t="s">
        <v>247</v>
      </c>
      <c r="F24" s="96">
        <v>202.47</v>
      </c>
      <c r="G24" s="140"/>
      <c r="H24" s="315"/>
    </row>
    <row r="25" spans="2:8">
      <c r="B25" s="141"/>
      <c r="C25" s="137"/>
      <c r="D25" s="138"/>
      <c r="E25" s="130" t="s">
        <v>240</v>
      </c>
      <c r="F25" s="96">
        <f>F23-F24</f>
        <v>1.38</v>
      </c>
      <c r="G25" s="141"/>
      <c r="H25" s="316"/>
    </row>
    <row r="32" spans="2:8">
      <c r="B32" s="107" t="s">
        <v>249</v>
      </c>
    </row>
    <row r="33" spans="2:8">
      <c r="B33" s="107"/>
    </row>
    <row r="34" spans="2:8" ht="26.25" customHeight="1">
      <c r="B34" s="113">
        <v>1</v>
      </c>
      <c r="C34" s="320" t="s">
        <v>259</v>
      </c>
      <c r="D34" s="321"/>
      <c r="E34" s="321"/>
      <c r="F34" s="321"/>
      <c r="G34" s="322"/>
      <c r="H34" s="314" t="s">
        <v>255</v>
      </c>
    </row>
    <row r="35" spans="2:8">
      <c r="B35" s="146"/>
      <c r="C35" s="132" t="s">
        <v>241</v>
      </c>
      <c r="D35" s="145"/>
      <c r="E35" s="145"/>
      <c r="F35" s="147"/>
      <c r="G35" s="134"/>
      <c r="H35" s="315"/>
    </row>
    <row r="36" spans="2:8">
      <c r="B36" s="146"/>
      <c r="C36" s="130" t="s">
        <v>7</v>
      </c>
      <c r="D36" s="130" t="s">
        <v>257</v>
      </c>
      <c r="E36" s="130" t="s">
        <v>239</v>
      </c>
      <c r="F36" s="148">
        <v>205.64</v>
      </c>
      <c r="G36" s="149"/>
      <c r="H36" s="315"/>
    </row>
    <row r="37" spans="2:8">
      <c r="B37" s="146"/>
      <c r="C37" s="150"/>
      <c r="D37" s="151"/>
      <c r="E37" s="130" t="s">
        <v>247</v>
      </c>
      <c r="F37" s="148">
        <v>203.8</v>
      </c>
      <c r="G37" s="146"/>
      <c r="H37" s="315"/>
    </row>
    <row r="38" spans="2:8">
      <c r="B38" s="152"/>
      <c r="C38" s="153"/>
      <c r="D38" s="154"/>
      <c r="E38" s="130" t="s">
        <v>240</v>
      </c>
      <c r="F38" s="148">
        <f>F36-F37</f>
        <v>1.84</v>
      </c>
      <c r="G38" s="152"/>
      <c r="H38" s="316"/>
    </row>
    <row r="39" spans="2:8" ht="27" customHeight="1">
      <c r="B39" s="113">
        <v>2</v>
      </c>
      <c r="C39" s="323" t="s">
        <v>262</v>
      </c>
      <c r="D39" s="324"/>
      <c r="E39" s="324"/>
      <c r="F39" s="324"/>
      <c r="G39" s="325"/>
      <c r="H39" s="314" t="s">
        <v>255</v>
      </c>
    </row>
    <row r="40" spans="2:8">
      <c r="B40" s="146"/>
      <c r="C40" s="132" t="s">
        <v>241</v>
      </c>
      <c r="D40" s="145"/>
      <c r="E40" s="145"/>
      <c r="F40" s="147"/>
      <c r="G40" s="134"/>
      <c r="H40" s="315"/>
    </row>
    <row r="41" spans="2:8">
      <c r="B41" s="146"/>
      <c r="C41" s="130" t="s">
        <v>7</v>
      </c>
      <c r="D41" s="130" t="s">
        <v>256</v>
      </c>
      <c r="E41" s="130" t="s">
        <v>239</v>
      </c>
      <c r="F41" s="148">
        <v>205.74</v>
      </c>
      <c r="G41" s="149"/>
      <c r="H41" s="315"/>
    </row>
    <row r="42" spans="2:8">
      <c r="B42" s="146"/>
      <c r="C42" s="150"/>
      <c r="D42" s="151"/>
      <c r="E42" s="130" t="s">
        <v>247</v>
      </c>
      <c r="F42" s="148">
        <v>204</v>
      </c>
      <c r="G42" s="146"/>
      <c r="H42" s="315"/>
    </row>
    <row r="43" spans="2:8">
      <c r="B43" s="152"/>
      <c r="C43" s="153"/>
      <c r="D43" s="154"/>
      <c r="E43" s="130" t="s">
        <v>240</v>
      </c>
      <c r="F43" s="148">
        <f>F41-F42</f>
        <v>1.74</v>
      </c>
      <c r="G43" s="152"/>
      <c r="H43" s="316"/>
    </row>
    <row r="44" spans="2:8" ht="27.75" customHeight="1">
      <c r="B44" s="113">
        <v>3</v>
      </c>
      <c r="C44" s="326" t="s">
        <v>263</v>
      </c>
      <c r="D44" s="327"/>
      <c r="E44" s="327"/>
      <c r="F44" s="327"/>
      <c r="G44" s="328"/>
      <c r="H44" s="314" t="s">
        <v>242</v>
      </c>
    </row>
    <row r="45" spans="2:8">
      <c r="B45" s="146"/>
      <c r="C45" s="132" t="s">
        <v>241</v>
      </c>
      <c r="D45" s="145"/>
      <c r="E45" s="145"/>
      <c r="F45" s="147"/>
      <c r="G45" s="134"/>
      <c r="H45" s="315"/>
    </row>
    <row r="46" spans="2:8">
      <c r="B46" s="146"/>
      <c r="C46" s="130" t="s">
        <v>7</v>
      </c>
      <c r="D46" s="130" t="s">
        <v>254</v>
      </c>
      <c r="E46" s="130" t="s">
        <v>239</v>
      </c>
      <c r="F46" s="148">
        <v>205.98</v>
      </c>
      <c r="G46" s="149"/>
      <c r="H46" s="315"/>
    </row>
    <row r="47" spans="2:8">
      <c r="B47" s="146"/>
      <c r="C47" s="150"/>
      <c r="D47" s="151"/>
      <c r="E47" s="130" t="s">
        <v>247</v>
      </c>
      <c r="F47" s="148">
        <v>204.41</v>
      </c>
      <c r="G47" s="146"/>
      <c r="H47" s="315"/>
    </row>
    <row r="48" spans="2:8">
      <c r="B48" s="152"/>
      <c r="C48" s="153"/>
      <c r="D48" s="154"/>
      <c r="E48" s="130" t="s">
        <v>240</v>
      </c>
      <c r="F48" s="148">
        <f>F46-F47</f>
        <v>1.57</v>
      </c>
      <c r="G48" s="152"/>
      <c r="H48" s="316"/>
    </row>
    <row r="49" spans="2:8" ht="27.75" customHeight="1">
      <c r="B49" s="143">
        <v>4</v>
      </c>
      <c r="C49" s="323" t="s">
        <v>260</v>
      </c>
      <c r="D49" s="324"/>
      <c r="E49" s="324"/>
      <c r="F49" s="324"/>
      <c r="G49" s="325"/>
      <c r="H49" s="314" t="s">
        <v>255</v>
      </c>
    </row>
    <row r="50" spans="2:8">
      <c r="B50" s="140"/>
      <c r="C50" s="132" t="s">
        <v>241</v>
      </c>
      <c r="D50" s="133"/>
      <c r="E50" s="133"/>
      <c r="F50" s="97"/>
      <c r="G50" s="134"/>
      <c r="H50" s="315"/>
    </row>
    <row r="51" spans="2:8">
      <c r="B51" s="140"/>
      <c r="C51" s="131" t="s">
        <v>7</v>
      </c>
      <c r="D51" s="130" t="s">
        <v>254</v>
      </c>
      <c r="E51" s="131" t="s">
        <v>239</v>
      </c>
      <c r="F51" s="96">
        <v>205.98</v>
      </c>
      <c r="G51" s="139"/>
      <c r="H51" s="315"/>
    </row>
    <row r="52" spans="2:8">
      <c r="B52" s="140"/>
      <c r="C52" s="135"/>
      <c r="D52" s="136"/>
      <c r="E52" s="130" t="s">
        <v>247</v>
      </c>
      <c r="F52" s="96">
        <v>204.33</v>
      </c>
      <c r="G52" s="140"/>
      <c r="H52" s="315"/>
    </row>
    <row r="53" spans="2:8">
      <c r="B53" s="141"/>
      <c r="C53" s="137"/>
      <c r="D53" s="138"/>
      <c r="E53" s="130" t="s">
        <v>240</v>
      </c>
      <c r="F53" s="96">
        <f>F51-F52</f>
        <v>1.65</v>
      </c>
      <c r="G53" s="141"/>
      <c r="H53" s="316"/>
    </row>
    <row r="54" spans="2:8" ht="25.5" customHeight="1">
      <c r="B54" s="143">
        <v>5</v>
      </c>
      <c r="C54" s="323" t="s">
        <v>261</v>
      </c>
      <c r="D54" s="324"/>
      <c r="E54" s="324"/>
      <c r="F54" s="324"/>
      <c r="G54" s="325"/>
      <c r="H54" s="314" t="s">
        <v>252</v>
      </c>
    </row>
    <row r="55" spans="2:8">
      <c r="B55" s="140"/>
      <c r="C55" s="132" t="s">
        <v>250</v>
      </c>
      <c r="D55" s="133"/>
      <c r="E55" s="133"/>
      <c r="F55" s="97"/>
      <c r="G55" s="134"/>
      <c r="H55" s="315"/>
    </row>
    <row r="56" spans="2:8">
      <c r="B56" s="140"/>
      <c r="C56" s="131" t="s">
        <v>7</v>
      </c>
      <c r="D56" s="130" t="s">
        <v>253</v>
      </c>
      <c r="E56" s="131" t="s">
        <v>239</v>
      </c>
      <c r="F56" s="96">
        <v>205.98</v>
      </c>
      <c r="G56" s="139"/>
      <c r="H56" s="315"/>
    </row>
    <row r="57" spans="2:8">
      <c r="B57" s="140"/>
      <c r="C57" s="135"/>
      <c r="D57" s="136"/>
      <c r="E57" s="130" t="s">
        <v>247</v>
      </c>
      <c r="F57" s="96">
        <v>204.47</v>
      </c>
      <c r="G57" s="140"/>
      <c r="H57" s="315"/>
    </row>
    <row r="58" spans="2:8">
      <c r="B58" s="141"/>
      <c r="C58" s="137"/>
      <c r="D58" s="138"/>
      <c r="E58" s="130" t="s">
        <v>240</v>
      </c>
      <c r="F58" s="96">
        <f>F56-F57</f>
        <v>1.51</v>
      </c>
      <c r="G58" s="141"/>
      <c r="H58" s="316"/>
    </row>
    <row r="59" spans="2:8" ht="27" customHeight="1">
      <c r="B59" s="143">
        <v>6</v>
      </c>
      <c r="C59" s="323" t="s">
        <v>266</v>
      </c>
      <c r="D59" s="324"/>
      <c r="E59" s="324"/>
      <c r="F59" s="324"/>
      <c r="G59" s="325"/>
      <c r="H59" s="314" t="s">
        <v>267</v>
      </c>
    </row>
    <row r="60" spans="2:8">
      <c r="B60" s="140"/>
      <c r="C60" s="132" t="s">
        <v>268</v>
      </c>
      <c r="D60" s="133"/>
      <c r="E60" s="133"/>
      <c r="F60" s="97"/>
      <c r="G60" s="134"/>
      <c r="H60" s="315"/>
    </row>
    <row r="61" spans="2:8">
      <c r="B61" s="140"/>
      <c r="C61" s="131" t="s">
        <v>7</v>
      </c>
      <c r="D61" s="130" t="s">
        <v>265</v>
      </c>
      <c r="E61" s="131" t="s">
        <v>239</v>
      </c>
      <c r="F61" s="96">
        <v>206.3</v>
      </c>
      <c r="G61" s="139"/>
      <c r="H61" s="315"/>
    </row>
    <row r="62" spans="2:8">
      <c r="B62" s="140"/>
      <c r="C62" s="135"/>
      <c r="D62" s="136"/>
      <c r="E62" s="130" t="s">
        <v>247</v>
      </c>
      <c r="F62" s="96">
        <v>204.6</v>
      </c>
      <c r="G62" s="140"/>
      <c r="H62" s="315"/>
    </row>
    <row r="63" spans="2:8">
      <c r="B63" s="141"/>
      <c r="C63" s="137"/>
      <c r="D63" s="138"/>
      <c r="E63" s="130" t="s">
        <v>240</v>
      </c>
      <c r="F63" s="96">
        <f>F61-F62</f>
        <v>1.7</v>
      </c>
      <c r="G63" s="141"/>
      <c r="H63" s="316"/>
    </row>
    <row r="64" spans="2:8">
      <c r="B64" s="143">
        <v>7</v>
      </c>
      <c r="C64" s="323" t="s">
        <v>258</v>
      </c>
      <c r="D64" s="324"/>
      <c r="E64" s="324"/>
      <c r="F64" s="324"/>
      <c r="G64" s="325"/>
      <c r="H64" s="314" t="s">
        <v>252</v>
      </c>
    </row>
    <row r="65" spans="2:8">
      <c r="B65" s="140"/>
      <c r="C65" s="132" t="s">
        <v>250</v>
      </c>
      <c r="D65" s="133"/>
      <c r="E65" s="133"/>
      <c r="F65" s="97"/>
      <c r="G65" s="134"/>
      <c r="H65" s="315"/>
    </row>
    <row r="66" spans="2:8">
      <c r="B66" s="140"/>
      <c r="C66" s="131" t="s">
        <v>7</v>
      </c>
      <c r="D66" s="130" t="s">
        <v>251</v>
      </c>
      <c r="E66" s="131" t="s">
        <v>239</v>
      </c>
      <c r="F66" s="96">
        <v>206.4</v>
      </c>
      <c r="G66" s="139"/>
      <c r="H66" s="315"/>
    </row>
    <row r="67" spans="2:8">
      <c r="B67" s="140"/>
      <c r="C67" s="135"/>
      <c r="D67" s="136"/>
      <c r="E67" s="130" t="s">
        <v>247</v>
      </c>
      <c r="F67" s="96">
        <v>204.9</v>
      </c>
      <c r="G67" s="140"/>
      <c r="H67" s="315"/>
    </row>
    <row r="68" spans="2:8">
      <c r="B68" s="141"/>
      <c r="C68" s="137"/>
      <c r="D68" s="138"/>
      <c r="E68" s="130" t="s">
        <v>240</v>
      </c>
      <c r="F68" s="96">
        <f>F66-F67</f>
        <v>1.5</v>
      </c>
      <c r="G68" s="141"/>
      <c r="H68" s="316"/>
    </row>
  </sheetData>
  <sheetProtection password="CAC3" sheet="1" objects="1" scenarios="1"/>
  <mergeCells count="22">
    <mergeCell ref="C34:G34"/>
    <mergeCell ref="H34:H38"/>
    <mergeCell ref="C39:G39"/>
    <mergeCell ref="H39:H43"/>
    <mergeCell ref="C64:G64"/>
    <mergeCell ref="H64:H68"/>
    <mergeCell ref="C44:G44"/>
    <mergeCell ref="H44:H48"/>
    <mergeCell ref="C49:G49"/>
    <mergeCell ref="H49:H53"/>
    <mergeCell ref="C59:G59"/>
    <mergeCell ref="H59:H63"/>
    <mergeCell ref="C54:G54"/>
    <mergeCell ref="H54:H58"/>
    <mergeCell ref="H7:H10"/>
    <mergeCell ref="H21:H25"/>
    <mergeCell ref="C6:G6"/>
    <mergeCell ref="C21:G21"/>
    <mergeCell ref="C11:G11"/>
    <mergeCell ref="H11:H15"/>
    <mergeCell ref="C16:G16"/>
    <mergeCell ref="H16:H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showGridLines="0" view="pageLayout" topLeftCell="A110" zoomScale="120" zoomScaleNormal="100" zoomScalePageLayoutView="120" workbookViewId="0">
      <selection activeCell="D117" sqref="D117"/>
    </sheetView>
  </sheetViews>
  <sheetFormatPr defaultRowHeight="12.75"/>
  <cols>
    <col min="1" max="1" width="5.7109375" style="115" customWidth="1"/>
    <col min="2" max="2" width="6" style="115" customWidth="1"/>
    <col min="3" max="3" width="11.140625" style="12" customWidth="1"/>
    <col min="4" max="4" width="47.28515625" style="155" customWidth="1"/>
    <col min="5" max="5" width="6.5703125" style="115" customWidth="1"/>
    <col min="6" max="6" width="10.7109375" style="10" customWidth="1"/>
  </cols>
  <sheetData>
    <row r="1" spans="2:6" ht="13.5" thickBot="1"/>
    <row r="2" spans="2:6" ht="27" thickTop="1" thickBot="1">
      <c r="B2" s="2" t="s">
        <v>0</v>
      </c>
      <c r="C2" s="13" t="s">
        <v>1</v>
      </c>
      <c r="D2" s="3" t="s">
        <v>2</v>
      </c>
      <c r="E2" s="3" t="s">
        <v>3</v>
      </c>
      <c r="F2" s="156" t="s">
        <v>4</v>
      </c>
    </row>
    <row r="3" spans="2:6" ht="13.5" customHeight="1" thickTop="1">
      <c r="B3" s="4">
        <v>1</v>
      </c>
      <c r="C3" s="22" t="s">
        <v>74</v>
      </c>
      <c r="D3" s="20"/>
      <c r="E3" s="20"/>
      <c r="F3" s="21"/>
    </row>
    <row r="4" spans="2:6" ht="48" customHeight="1">
      <c r="B4" s="5" t="s">
        <v>5</v>
      </c>
      <c r="C4" s="14" t="s">
        <v>6</v>
      </c>
      <c r="D4" s="14" t="s">
        <v>215</v>
      </c>
      <c r="E4" s="6" t="s">
        <v>7</v>
      </c>
      <c r="F4" s="157">
        <f>(517+170+175+67)/1000</f>
        <v>0.92900000000000005</v>
      </c>
    </row>
    <row r="5" spans="2:6" ht="25.5">
      <c r="B5" s="5" t="s">
        <v>333</v>
      </c>
      <c r="C5" s="15" t="s">
        <v>25</v>
      </c>
      <c r="D5" s="8" t="s">
        <v>94</v>
      </c>
      <c r="E5" s="9" t="s">
        <v>12</v>
      </c>
      <c r="F5" s="158">
        <v>30</v>
      </c>
    </row>
    <row r="6" spans="2:6" ht="25.5" customHeight="1">
      <c r="B6" s="5" t="s">
        <v>10</v>
      </c>
      <c r="C6" s="15" t="s">
        <v>222</v>
      </c>
      <c r="D6" s="15" t="s">
        <v>223</v>
      </c>
      <c r="E6" s="113" t="s">
        <v>21</v>
      </c>
      <c r="F6" s="159">
        <v>1</v>
      </c>
    </row>
    <row r="7" spans="2:6" ht="49.5" customHeight="1">
      <c r="B7" s="5" t="s">
        <v>13</v>
      </c>
      <c r="C7" s="15" t="s">
        <v>8</v>
      </c>
      <c r="D7" s="15" t="s">
        <v>276</v>
      </c>
      <c r="E7" s="9" t="s">
        <v>9</v>
      </c>
      <c r="F7" s="158">
        <f>F107+F62</f>
        <v>1358.5</v>
      </c>
    </row>
    <row r="8" spans="2:6" ht="34.5" customHeight="1">
      <c r="B8" s="119" t="s">
        <v>15</v>
      </c>
      <c r="C8" s="116" t="s">
        <v>14</v>
      </c>
      <c r="D8" s="15" t="s">
        <v>349</v>
      </c>
      <c r="E8" s="9" t="s">
        <v>9</v>
      </c>
      <c r="F8" s="158">
        <f>F10+F11</f>
        <v>955</v>
      </c>
    </row>
    <row r="9" spans="2:6" ht="12.75" customHeight="1">
      <c r="B9" s="119"/>
      <c r="C9" s="117"/>
      <c r="D9" s="116" t="s">
        <v>278</v>
      </c>
      <c r="E9" s="120"/>
      <c r="F9" s="165"/>
    </row>
    <row r="10" spans="2:6" ht="12.75" customHeight="1">
      <c r="B10" s="119"/>
      <c r="C10" s="117"/>
      <c r="D10" s="14" t="s">
        <v>277</v>
      </c>
      <c r="E10" s="6"/>
      <c r="F10" s="192">
        <f>F107</f>
        <v>830</v>
      </c>
    </row>
    <row r="11" spans="2:6" ht="15.75" customHeight="1">
      <c r="B11" s="5"/>
      <c r="C11" s="14"/>
      <c r="D11" s="15" t="s">
        <v>279</v>
      </c>
      <c r="E11" s="9"/>
      <c r="F11" s="191">
        <f>5*5*5</f>
        <v>125</v>
      </c>
    </row>
    <row r="12" spans="2:6" ht="49.5" customHeight="1">
      <c r="B12" s="124" t="s">
        <v>16</v>
      </c>
      <c r="C12" s="15" t="s">
        <v>11</v>
      </c>
      <c r="D12" s="15" t="s">
        <v>95</v>
      </c>
      <c r="E12" s="9" t="s">
        <v>12</v>
      </c>
      <c r="F12" s="159">
        <f>1000+300+50</f>
        <v>1350</v>
      </c>
    </row>
    <row r="13" spans="2:6" ht="38.25">
      <c r="B13" s="124" t="s">
        <v>18</v>
      </c>
      <c r="C13" s="15" t="s">
        <v>96</v>
      </c>
      <c r="D13" s="15" t="s">
        <v>97</v>
      </c>
      <c r="E13" s="9" t="s">
        <v>12</v>
      </c>
      <c r="F13" s="158">
        <v>500</v>
      </c>
    </row>
    <row r="14" spans="2:6" ht="38.25">
      <c r="B14" s="124" t="s">
        <v>19</v>
      </c>
      <c r="C14" s="15" t="s">
        <v>17</v>
      </c>
      <c r="D14" s="15" t="s">
        <v>98</v>
      </c>
      <c r="E14" s="9" t="s">
        <v>9</v>
      </c>
      <c r="F14" s="158">
        <f>250*1.5+170*1.5+50*1.5</f>
        <v>705</v>
      </c>
    </row>
    <row r="15" spans="2:6" ht="31.5" customHeight="1">
      <c r="B15" s="124" t="s">
        <v>20</v>
      </c>
      <c r="C15" s="15" t="s">
        <v>99</v>
      </c>
      <c r="D15" s="15" t="s">
        <v>100</v>
      </c>
      <c r="E15" s="9" t="s">
        <v>9</v>
      </c>
      <c r="F15" s="158">
        <f>100*2*1.5+70*2</f>
        <v>440</v>
      </c>
    </row>
    <row r="16" spans="2:6" ht="31.5" customHeight="1">
      <c r="B16" s="124" t="s">
        <v>22</v>
      </c>
      <c r="C16" s="15" t="s">
        <v>101</v>
      </c>
      <c r="D16" s="15" t="s">
        <v>102</v>
      </c>
      <c r="E16" s="9" t="s">
        <v>12</v>
      </c>
      <c r="F16" s="158">
        <v>200</v>
      </c>
    </row>
    <row r="17" spans="2:6" ht="24.75" customHeight="1">
      <c r="B17" s="124" t="s">
        <v>23</v>
      </c>
      <c r="C17" s="15" t="s">
        <v>338</v>
      </c>
      <c r="D17" s="15" t="s">
        <v>237</v>
      </c>
      <c r="E17" s="113" t="s">
        <v>113</v>
      </c>
      <c r="F17" s="158">
        <v>1</v>
      </c>
    </row>
    <row r="18" spans="2:6" ht="36.75" customHeight="1">
      <c r="B18" s="124" t="s">
        <v>24</v>
      </c>
      <c r="C18" s="15" t="s">
        <v>103</v>
      </c>
      <c r="D18" s="15" t="s">
        <v>339</v>
      </c>
      <c r="E18" s="9" t="s">
        <v>12</v>
      </c>
      <c r="F18" s="158">
        <v>200</v>
      </c>
    </row>
    <row r="19" spans="2:6" ht="45.75" customHeight="1">
      <c r="B19" s="124" t="s">
        <v>334</v>
      </c>
      <c r="C19" s="15" t="s">
        <v>27</v>
      </c>
      <c r="D19" s="15" t="s">
        <v>227</v>
      </c>
      <c r="E19" s="9" t="s">
        <v>9</v>
      </c>
      <c r="F19" s="158">
        <f>F60</f>
        <v>4443.3100000000004</v>
      </c>
    </row>
    <row r="20" spans="2:6" ht="14.25" customHeight="1" thickBot="1">
      <c r="B20" s="18"/>
      <c r="C20" s="19"/>
      <c r="D20" s="19"/>
      <c r="E20" s="19"/>
      <c r="F20" s="160"/>
    </row>
    <row r="21" spans="2:6" ht="14.25" thickTop="1" thickBot="1">
      <c r="B21" s="11">
        <v>2</v>
      </c>
      <c r="C21" s="23" t="s">
        <v>75</v>
      </c>
      <c r="D21" s="24"/>
      <c r="E21" s="24"/>
      <c r="F21" s="161"/>
    </row>
    <row r="22" spans="2:6" ht="13.5" thickTop="1">
      <c r="B22" s="119" t="s">
        <v>28</v>
      </c>
      <c r="C22" s="117" t="s">
        <v>104</v>
      </c>
      <c r="D22" s="117" t="s">
        <v>280</v>
      </c>
      <c r="E22" s="121" t="s">
        <v>26</v>
      </c>
      <c r="F22" s="167">
        <f>F24+F25</f>
        <v>128</v>
      </c>
    </row>
    <row r="23" spans="2:6">
      <c r="B23" s="119"/>
      <c r="C23" s="117"/>
      <c r="D23" s="117" t="s">
        <v>281</v>
      </c>
      <c r="E23" s="121"/>
      <c r="F23" s="167"/>
    </row>
    <row r="24" spans="2:6">
      <c r="B24" s="119"/>
      <c r="C24" s="117"/>
      <c r="D24" s="15" t="s">
        <v>282</v>
      </c>
      <c r="E24" s="9"/>
      <c r="F24" s="194">
        <f>114*0.5</f>
        <v>57</v>
      </c>
    </row>
    <row r="25" spans="2:6" ht="14.25" customHeight="1" thickBot="1">
      <c r="B25" s="215"/>
      <c r="C25" s="216"/>
      <c r="D25" s="195" t="s">
        <v>283</v>
      </c>
      <c r="E25" s="193"/>
      <c r="F25" s="194">
        <f>61*0.5+135*0.3</f>
        <v>71</v>
      </c>
    </row>
    <row r="26" spans="2:6" ht="14.25" thickTop="1" thickBot="1">
      <c r="B26" s="11">
        <v>3</v>
      </c>
      <c r="C26" s="23" t="s">
        <v>78</v>
      </c>
      <c r="D26" s="17"/>
      <c r="E26" s="17"/>
      <c r="F26" s="163"/>
    </row>
    <row r="27" spans="2:6" ht="51.75" thickTop="1">
      <c r="B27" s="5" t="s">
        <v>29</v>
      </c>
      <c r="C27" s="14" t="s">
        <v>105</v>
      </c>
      <c r="D27" s="14" t="s">
        <v>284</v>
      </c>
      <c r="E27" s="6" t="s">
        <v>106</v>
      </c>
      <c r="F27" s="164">
        <f>'T5 studz.'!E26</f>
        <v>6</v>
      </c>
    </row>
    <row r="28" spans="2:6" ht="38.25">
      <c r="B28" s="5" t="s">
        <v>32</v>
      </c>
      <c r="C28" s="14" t="s">
        <v>105</v>
      </c>
      <c r="D28" s="14" t="s">
        <v>350</v>
      </c>
      <c r="E28" s="6" t="s">
        <v>106</v>
      </c>
      <c r="F28" s="164">
        <f>'T5 studz.'!G26</f>
        <v>2</v>
      </c>
    </row>
    <row r="29" spans="2:6" ht="76.5">
      <c r="B29" s="5" t="s">
        <v>33</v>
      </c>
      <c r="C29" s="15" t="s">
        <v>107</v>
      </c>
      <c r="D29" s="15" t="s">
        <v>285</v>
      </c>
      <c r="E29" s="9" t="s">
        <v>106</v>
      </c>
      <c r="F29" s="158">
        <f>'T5 studz.'!F26</f>
        <v>3</v>
      </c>
    </row>
    <row r="30" spans="2:6" ht="51">
      <c r="B30" s="5" t="s">
        <v>34</v>
      </c>
      <c r="C30" s="15" t="s">
        <v>108</v>
      </c>
      <c r="D30" s="15" t="s">
        <v>351</v>
      </c>
      <c r="E30" s="9" t="s">
        <v>21</v>
      </c>
      <c r="F30" s="158">
        <f>'T5 studz.'!I26</f>
        <v>12</v>
      </c>
    </row>
    <row r="31" spans="2:6" ht="51">
      <c r="B31" s="5" t="s">
        <v>335</v>
      </c>
      <c r="C31" s="15" t="s">
        <v>108</v>
      </c>
      <c r="D31" s="15" t="s">
        <v>231</v>
      </c>
      <c r="E31" s="9" t="s">
        <v>21</v>
      </c>
      <c r="F31" s="158">
        <f>'T5 studz.'!H26</f>
        <v>7</v>
      </c>
    </row>
    <row r="32" spans="2:6" ht="51">
      <c r="B32" s="5" t="s">
        <v>66</v>
      </c>
      <c r="C32" s="15" t="s">
        <v>109</v>
      </c>
      <c r="D32" s="15" t="s">
        <v>286</v>
      </c>
      <c r="E32" s="9" t="s">
        <v>12</v>
      </c>
      <c r="F32" s="158">
        <f>'T5 studz.'!R26</f>
        <v>79</v>
      </c>
    </row>
    <row r="33" spans="2:6" ht="38.25">
      <c r="B33" s="5" t="s">
        <v>336</v>
      </c>
      <c r="C33" s="15" t="s">
        <v>111</v>
      </c>
      <c r="D33" s="15" t="s">
        <v>287</v>
      </c>
      <c r="E33" s="9" t="s">
        <v>12</v>
      </c>
      <c r="F33" s="158">
        <f>'T5 studz.'!K26</f>
        <v>71</v>
      </c>
    </row>
    <row r="34" spans="2:6" ht="38.25">
      <c r="B34" s="5" t="s">
        <v>67</v>
      </c>
      <c r="C34" s="15" t="s">
        <v>111</v>
      </c>
      <c r="D34" s="15" t="s">
        <v>352</v>
      </c>
      <c r="E34" s="9" t="s">
        <v>12</v>
      </c>
      <c r="F34" s="158">
        <f>'T5 studz.'!L26</f>
        <v>71</v>
      </c>
    </row>
    <row r="35" spans="2:6" ht="38.25">
      <c r="B35" s="5" t="s">
        <v>68</v>
      </c>
      <c r="C35" s="15" t="s">
        <v>112</v>
      </c>
      <c r="D35" s="122" t="s">
        <v>288</v>
      </c>
      <c r="E35" s="9" t="s">
        <v>12</v>
      </c>
      <c r="F35" s="158">
        <f>'T5 studz.'!M26</f>
        <v>57</v>
      </c>
    </row>
    <row r="36" spans="2:6">
      <c r="B36" s="5" t="s">
        <v>69</v>
      </c>
      <c r="C36" s="15" t="s">
        <v>332</v>
      </c>
      <c r="D36" s="15" t="s">
        <v>221</v>
      </c>
      <c r="E36" s="113" t="s">
        <v>113</v>
      </c>
      <c r="F36" s="158">
        <v>3</v>
      </c>
    </row>
    <row r="37" spans="2:6">
      <c r="B37" s="118"/>
      <c r="C37" s="116"/>
      <c r="D37" s="116" t="s">
        <v>289</v>
      </c>
      <c r="E37" s="144"/>
      <c r="F37" s="165"/>
    </row>
    <row r="38" spans="2:6">
      <c r="B38" s="119"/>
      <c r="C38" s="117"/>
      <c r="D38" s="117" t="s">
        <v>291</v>
      </c>
      <c r="E38" s="196"/>
      <c r="F38" s="197"/>
    </row>
    <row r="39" spans="2:6">
      <c r="B39" s="5"/>
      <c r="C39" s="14"/>
      <c r="D39" s="14" t="s">
        <v>290</v>
      </c>
      <c r="E39" s="198"/>
      <c r="F39" s="164"/>
    </row>
    <row r="40" spans="2:6" ht="38.25">
      <c r="B40" s="211" t="s">
        <v>337</v>
      </c>
      <c r="C40" s="116" t="s">
        <v>30</v>
      </c>
      <c r="D40" s="116" t="s">
        <v>230</v>
      </c>
      <c r="E40" s="120" t="s">
        <v>26</v>
      </c>
      <c r="F40" s="165">
        <f>F42+F43</f>
        <v>8.24</v>
      </c>
    </row>
    <row r="41" spans="2:6">
      <c r="B41" s="119"/>
      <c r="C41" s="117"/>
      <c r="D41" s="14" t="s">
        <v>281</v>
      </c>
      <c r="E41" s="6"/>
      <c r="F41" s="164"/>
    </row>
    <row r="42" spans="2:6">
      <c r="B42" s="119"/>
      <c r="C42" s="117"/>
      <c r="D42" s="15" t="s">
        <v>292</v>
      </c>
      <c r="E42" s="201"/>
      <c r="F42" s="202">
        <f>2*2.62</f>
        <v>5.24</v>
      </c>
    </row>
    <row r="43" spans="2:6">
      <c r="B43" s="199"/>
      <c r="C43" s="200"/>
      <c r="D43" s="15" t="s">
        <v>293</v>
      </c>
      <c r="E43" s="203"/>
      <c r="F43" s="204">
        <v>3</v>
      </c>
    </row>
    <row r="44" spans="2:6" ht="13.5" thickBot="1">
      <c r="B44" s="18"/>
      <c r="C44" s="19"/>
      <c r="D44" s="19"/>
      <c r="E44" s="19"/>
      <c r="F44" s="160"/>
    </row>
    <row r="45" spans="2:6" ht="14.25" thickTop="1" thickBot="1">
      <c r="B45" s="11">
        <v>4</v>
      </c>
      <c r="C45" s="23" t="s">
        <v>80</v>
      </c>
      <c r="D45" s="24"/>
      <c r="E45" s="24"/>
      <c r="F45" s="161"/>
    </row>
    <row r="46" spans="2:6" ht="39" thickTop="1">
      <c r="B46" s="206" t="s">
        <v>345</v>
      </c>
      <c r="C46" s="116" t="s">
        <v>115</v>
      </c>
      <c r="D46" s="116" t="s">
        <v>220</v>
      </c>
      <c r="E46" s="120" t="s">
        <v>9</v>
      </c>
      <c r="F46" s="165">
        <f>F48+F49</f>
        <v>1358.5</v>
      </c>
    </row>
    <row r="47" spans="2:6">
      <c r="B47" s="119"/>
      <c r="C47" s="117"/>
      <c r="D47" s="14" t="s">
        <v>281</v>
      </c>
      <c r="E47" s="6"/>
      <c r="F47" s="164"/>
    </row>
    <row r="48" spans="2:6">
      <c r="B48" s="119"/>
      <c r="C48" s="117"/>
      <c r="D48" s="15" t="s">
        <v>277</v>
      </c>
      <c r="E48" s="198" t="s">
        <v>9</v>
      </c>
      <c r="F48" s="191">
        <f>F107</f>
        <v>830</v>
      </c>
    </row>
    <row r="49" spans="2:6">
      <c r="B49" s="5"/>
      <c r="C49" s="14"/>
      <c r="D49" s="15" t="s">
        <v>294</v>
      </c>
      <c r="E49" s="113" t="s">
        <v>9</v>
      </c>
      <c r="F49" s="191">
        <f>F62</f>
        <v>528.5</v>
      </c>
    </row>
    <row r="50" spans="2:6" ht="38.25">
      <c r="B50" s="206" t="s">
        <v>353</v>
      </c>
      <c r="C50" s="116" t="s">
        <v>114</v>
      </c>
      <c r="D50" s="116" t="s">
        <v>344</v>
      </c>
      <c r="E50" s="120" t="s">
        <v>9</v>
      </c>
      <c r="F50" s="166">
        <f>F52+F53+F54+F55</f>
        <v>1015.26</v>
      </c>
    </row>
    <row r="51" spans="2:6">
      <c r="B51" s="119"/>
      <c r="C51" s="117"/>
      <c r="D51" s="14" t="s">
        <v>281</v>
      </c>
      <c r="E51" s="6"/>
      <c r="F51" s="162"/>
    </row>
    <row r="52" spans="2:6">
      <c r="B52" s="119"/>
      <c r="C52" s="117"/>
      <c r="D52" s="15" t="s">
        <v>340</v>
      </c>
      <c r="E52" s="9"/>
      <c r="F52" s="194">
        <f>'T1 zjazdy lewe'!I44</f>
        <v>341.9</v>
      </c>
    </row>
    <row r="53" spans="2:6">
      <c r="B53" s="119"/>
      <c r="C53" s="117"/>
      <c r="D53" s="15" t="s">
        <v>341</v>
      </c>
      <c r="E53" s="9"/>
      <c r="F53" s="194">
        <f>'T2 zj. prawe'!I51</f>
        <v>377</v>
      </c>
    </row>
    <row r="54" spans="2:6">
      <c r="B54" s="119"/>
      <c r="C54" s="117"/>
      <c r="D54" s="15" t="s">
        <v>342</v>
      </c>
      <c r="E54" s="9"/>
      <c r="F54" s="194">
        <f>'T6 ścieralna'!H38</f>
        <v>246.36</v>
      </c>
    </row>
    <row r="55" spans="2:6">
      <c r="B55" s="5"/>
      <c r="C55" s="14"/>
      <c r="D55" s="15" t="s">
        <v>343</v>
      </c>
      <c r="E55" s="9"/>
      <c r="F55" s="194">
        <v>50</v>
      </c>
    </row>
    <row r="56" spans="2:6" ht="55.5" customHeight="1">
      <c r="B56" s="123" t="s">
        <v>35</v>
      </c>
      <c r="C56" s="15" t="s">
        <v>116</v>
      </c>
      <c r="D56" s="15" t="s">
        <v>232</v>
      </c>
      <c r="E56" s="9" t="s">
        <v>9</v>
      </c>
      <c r="F56" s="159">
        <f>'T3 ch.lewe'!G27+'T4 ch.prawe'!H42</f>
        <v>1633.5</v>
      </c>
    </row>
    <row r="57" spans="2:6" ht="26.25" customHeight="1" thickBot="1">
      <c r="B57" s="18"/>
      <c r="C57" s="19"/>
      <c r="D57" s="19"/>
      <c r="E57" s="19"/>
      <c r="F57" s="160"/>
    </row>
    <row r="58" spans="2:6" ht="14.25" thickTop="1" thickBot="1">
      <c r="B58" s="11">
        <v>5</v>
      </c>
      <c r="C58" s="23" t="s">
        <v>82</v>
      </c>
      <c r="D58" s="17"/>
      <c r="E58" s="17"/>
      <c r="F58" s="163"/>
    </row>
    <row r="59" spans="2:6" ht="26.25" thickTop="1">
      <c r="B59" s="7" t="s">
        <v>36</v>
      </c>
      <c r="C59" s="15" t="s">
        <v>38</v>
      </c>
      <c r="D59" s="15" t="s">
        <v>224</v>
      </c>
      <c r="E59" s="9" t="s">
        <v>39</v>
      </c>
      <c r="F59" s="158">
        <f>F61*0.05</f>
        <v>238.39</v>
      </c>
    </row>
    <row r="60" spans="2:6" ht="38.25">
      <c r="B60" s="7" t="s">
        <v>346</v>
      </c>
      <c r="C60" s="16" t="s">
        <v>117</v>
      </c>
      <c r="D60" s="15" t="s">
        <v>233</v>
      </c>
      <c r="E60" s="9" t="s">
        <v>9</v>
      </c>
      <c r="F60" s="159">
        <f>'T7 wiążąca'!G41</f>
        <v>4443.3100000000004</v>
      </c>
    </row>
    <row r="61" spans="2:6" ht="38.25">
      <c r="B61" s="7" t="s">
        <v>37</v>
      </c>
      <c r="C61" s="16" t="s">
        <v>118</v>
      </c>
      <c r="D61" s="15" t="s">
        <v>205</v>
      </c>
      <c r="E61" s="9" t="s">
        <v>9</v>
      </c>
      <c r="F61" s="159">
        <f>'T6 ścieralna'!G41</f>
        <v>4767.8100000000004</v>
      </c>
    </row>
    <row r="62" spans="2:6" ht="43.5" customHeight="1">
      <c r="B62" s="7" t="s">
        <v>40</v>
      </c>
      <c r="C62" s="15" t="s">
        <v>63</v>
      </c>
      <c r="D62" s="15" t="s">
        <v>228</v>
      </c>
      <c r="E62" s="9" t="s">
        <v>9</v>
      </c>
      <c r="F62" s="158">
        <f>(167-16)*3.5</f>
        <v>528.5</v>
      </c>
    </row>
    <row r="63" spans="2:6" ht="25.5">
      <c r="B63" s="7" t="s">
        <v>41</v>
      </c>
      <c r="C63" s="15" t="s">
        <v>302</v>
      </c>
      <c r="D63" s="15" t="s">
        <v>301</v>
      </c>
      <c r="E63" s="113" t="s">
        <v>9</v>
      </c>
      <c r="F63" s="159">
        <v>30</v>
      </c>
    </row>
    <row r="64" spans="2:6" ht="13.5" thickBot="1">
      <c r="B64" s="18"/>
      <c r="C64" s="19"/>
      <c r="D64" s="19"/>
      <c r="E64" s="19"/>
      <c r="F64" s="160"/>
    </row>
    <row r="65" spans="2:6" ht="14.25" thickTop="1" thickBot="1">
      <c r="B65" s="11">
        <v>6</v>
      </c>
      <c r="C65" s="23" t="s">
        <v>84</v>
      </c>
      <c r="D65" s="17"/>
      <c r="E65" s="17"/>
      <c r="F65" s="163"/>
    </row>
    <row r="66" spans="2:6" ht="51.75" thickTop="1">
      <c r="B66" s="7" t="s">
        <v>42</v>
      </c>
      <c r="C66" s="15" t="s">
        <v>45</v>
      </c>
      <c r="D66" s="15" t="s">
        <v>295</v>
      </c>
      <c r="E66" s="9" t="s">
        <v>26</v>
      </c>
      <c r="F66" s="159">
        <f>150*1.25*0.1</f>
        <v>18.75</v>
      </c>
    </row>
    <row r="67" spans="2:6" ht="33" customHeight="1">
      <c r="B67" s="118" t="s">
        <v>43</v>
      </c>
      <c r="C67" s="116" t="s">
        <v>46</v>
      </c>
      <c r="D67" s="116" t="s">
        <v>296</v>
      </c>
      <c r="E67" s="120" t="s">
        <v>12</v>
      </c>
      <c r="F67" s="165">
        <f>F70+F69</f>
        <v>130</v>
      </c>
    </row>
    <row r="68" spans="2:6" ht="16.5" customHeight="1">
      <c r="B68" s="119"/>
      <c r="C68" s="117"/>
      <c r="D68" s="14" t="s">
        <v>281</v>
      </c>
      <c r="E68" s="6"/>
      <c r="F68" s="192"/>
    </row>
    <row r="69" spans="2:6" ht="16.5" customHeight="1">
      <c r="B69" s="119"/>
      <c r="C69" s="117"/>
      <c r="D69" s="116" t="s">
        <v>298</v>
      </c>
      <c r="E69" s="144" t="s">
        <v>12</v>
      </c>
      <c r="F69" s="205">
        <v>20</v>
      </c>
    </row>
    <row r="70" spans="2:6" ht="18" customHeight="1">
      <c r="B70" s="5"/>
      <c r="C70" s="14"/>
      <c r="D70" s="116" t="s">
        <v>297</v>
      </c>
      <c r="E70" s="144" t="s">
        <v>12</v>
      </c>
      <c r="F70" s="205">
        <v>110</v>
      </c>
    </row>
    <row r="71" spans="2:6" ht="38.25">
      <c r="B71" s="118" t="s">
        <v>44</v>
      </c>
      <c r="C71" s="116" t="s">
        <v>48</v>
      </c>
      <c r="D71" s="116" t="s">
        <v>229</v>
      </c>
      <c r="E71" s="120" t="s">
        <v>9</v>
      </c>
      <c r="F71" s="165">
        <f>F73+F74</f>
        <v>216</v>
      </c>
    </row>
    <row r="72" spans="2:6">
      <c r="B72" s="119"/>
      <c r="C72" s="117"/>
      <c r="D72" s="14" t="s">
        <v>281</v>
      </c>
      <c r="E72" s="6"/>
      <c r="F72" s="164"/>
    </row>
    <row r="73" spans="2:6">
      <c r="B73" s="119"/>
      <c r="C73" s="117"/>
      <c r="D73" s="116" t="s">
        <v>297</v>
      </c>
      <c r="E73" s="144" t="s">
        <v>9</v>
      </c>
      <c r="F73" s="205">
        <f>110*1.6+20</f>
        <v>196</v>
      </c>
    </row>
    <row r="74" spans="2:6">
      <c r="B74" s="5"/>
      <c r="C74" s="14"/>
      <c r="D74" s="116" t="s">
        <v>299</v>
      </c>
      <c r="E74" s="144" t="s">
        <v>9</v>
      </c>
      <c r="F74" s="191">
        <v>20</v>
      </c>
    </row>
    <row r="75" spans="2:6" ht="38.25">
      <c r="B75" s="123" t="s">
        <v>274</v>
      </c>
      <c r="C75" s="15" t="s">
        <v>64</v>
      </c>
      <c r="D75" s="15" t="s">
        <v>300</v>
      </c>
      <c r="E75" s="9" t="s">
        <v>12</v>
      </c>
      <c r="F75" s="159">
        <f>'T1 zjazdy lewe'!J44+'T2 zj. prawe'!J51</f>
        <v>43</v>
      </c>
    </row>
    <row r="76" spans="2:6" ht="47.25" customHeight="1">
      <c r="B76" s="123" t="s">
        <v>47</v>
      </c>
      <c r="C76" s="15" t="s">
        <v>110</v>
      </c>
      <c r="D76" s="15" t="s">
        <v>119</v>
      </c>
      <c r="E76" s="9" t="s">
        <v>31</v>
      </c>
      <c r="F76" s="159">
        <f>'T1 zjazdy lewe'!K44+'T2 zj. prawe'!L51</f>
        <v>16</v>
      </c>
    </row>
    <row r="77" spans="2:6" ht="27" customHeight="1">
      <c r="B77" s="123" t="s">
        <v>275</v>
      </c>
      <c r="C77" s="15" t="s">
        <v>120</v>
      </c>
      <c r="D77" s="15" t="s">
        <v>217</v>
      </c>
      <c r="E77" s="113" t="s">
        <v>21</v>
      </c>
      <c r="F77" s="159">
        <v>40</v>
      </c>
    </row>
    <row r="78" spans="2:6" ht="25.5" customHeight="1">
      <c r="B78" s="123" t="s">
        <v>49</v>
      </c>
      <c r="C78" s="15" t="s">
        <v>120</v>
      </c>
      <c r="D78" s="15" t="s">
        <v>236</v>
      </c>
      <c r="E78" s="113" t="s">
        <v>21</v>
      </c>
      <c r="F78" s="159">
        <v>1</v>
      </c>
    </row>
    <row r="79" spans="2:6" ht="25.5">
      <c r="B79" s="123" t="s">
        <v>70</v>
      </c>
      <c r="C79" s="15" t="s">
        <v>120</v>
      </c>
      <c r="D79" s="15" t="s">
        <v>121</v>
      </c>
      <c r="E79" s="9" t="s">
        <v>21</v>
      </c>
      <c r="F79" s="158">
        <v>6</v>
      </c>
    </row>
    <row r="80" spans="2:6" ht="39" customHeight="1">
      <c r="B80" s="206" t="s">
        <v>71</v>
      </c>
      <c r="C80" s="116" t="s">
        <v>120</v>
      </c>
      <c r="D80" s="116" t="s">
        <v>348</v>
      </c>
      <c r="E80" s="120" t="s">
        <v>21</v>
      </c>
      <c r="F80" s="165">
        <v>50</v>
      </c>
    </row>
    <row r="81" spans="2:6" ht="34.5" customHeight="1" thickBot="1">
      <c r="B81" s="206" t="s">
        <v>72</v>
      </c>
      <c r="C81" s="116" t="s">
        <v>120</v>
      </c>
      <c r="D81" s="116" t="s">
        <v>303</v>
      </c>
      <c r="E81" s="120" t="s">
        <v>21</v>
      </c>
      <c r="F81" s="165">
        <v>3</v>
      </c>
    </row>
    <row r="82" spans="2:6" ht="14.25" thickTop="1" thickBot="1">
      <c r="B82" s="11">
        <v>7</v>
      </c>
      <c r="C82" s="23" t="s">
        <v>86</v>
      </c>
      <c r="D82" s="17"/>
      <c r="E82" s="17"/>
      <c r="F82" s="163"/>
    </row>
    <row r="83" spans="2:6" ht="39" thickTop="1">
      <c r="B83" s="206" t="s">
        <v>347</v>
      </c>
      <c r="C83" s="116" t="s">
        <v>50</v>
      </c>
      <c r="D83" s="116" t="s">
        <v>307</v>
      </c>
      <c r="E83" s="120" t="s">
        <v>9</v>
      </c>
      <c r="F83" s="165">
        <f>F85+F86</f>
        <v>38</v>
      </c>
    </row>
    <row r="84" spans="2:6">
      <c r="B84" s="119"/>
      <c r="C84" s="117"/>
      <c r="D84" s="14" t="s">
        <v>281</v>
      </c>
      <c r="E84" s="6"/>
      <c r="F84" s="164"/>
    </row>
    <row r="85" spans="2:6">
      <c r="B85" s="119"/>
      <c r="C85" s="117"/>
      <c r="D85" s="15" t="s">
        <v>305</v>
      </c>
      <c r="E85" s="113" t="s">
        <v>9</v>
      </c>
      <c r="F85" s="158">
        <f>4*5+3.75</f>
        <v>23.75</v>
      </c>
    </row>
    <row r="86" spans="2:6">
      <c r="B86" s="5"/>
      <c r="C86" s="14"/>
      <c r="D86" s="15" t="s">
        <v>306</v>
      </c>
      <c r="E86" s="113" t="s">
        <v>9</v>
      </c>
      <c r="F86" s="158">
        <f>6*4*0.5+0.375*6</f>
        <v>14.25</v>
      </c>
    </row>
    <row r="87" spans="2:6" ht="51">
      <c r="B87" s="206" t="s">
        <v>51</v>
      </c>
      <c r="C87" s="116" t="s">
        <v>52</v>
      </c>
      <c r="D87" s="116" t="s">
        <v>308</v>
      </c>
      <c r="E87" s="120" t="s">
        <v>21</v>
      </c>
      <c r="F87" s="165">
        <f>F89+F90</f>
        <v>9</v>
      </c>
    </row>
    <row r="88" spans="2:6">
      <c r="B88" s="119"/>
      <c r="C88" s="117"/>
      <c r="D88" s="14" t="s">
        <v>281</v>
      </c>
      <c r="E88" s="6"/>
      <c r="F88" s="164"/>
    </row>
    <row r="89" spans="2:6">
      <c r="B89" s="119"/>
      <c r="C89" s="117"/>
      <c r="D89" s="15" t="s">
        <v>309</v>
      </c>
      <c r="E89" s="113" t="s">
        <v>21</v>
      </c>
      <c r="F89" s="158">
        <v>6</v>
      </c>
    </row>
    <row r="90" spans="2:6">
      <c r="B90" s="5"/>
      <c r="C90" s="14"/>
      <c r="D90" s="15" t="s">
        <v>310</v>
      </c>
      <c r="E90" s="113" t="s">
        <v>21</v>
      </c>
      <c r="F90" s="158">
        <v>3</v>
      </c>
    </row>
    <row r="91" spans="2:6" ht="38.25">
      <c r="B91" s="206" t="s">
        <v>53</v>
      </c>
      <c r="C91" s="116" t="s">
        <v>52</v>
      </c>
      <c r="D91" s="116" t="s">
        <v>234</v>
      </c>
      <c r="E91" s="120" t="s">
        <v>21</v>
      </c>
      <c r="F91" s="165">
        <f>F93+F94+F95+F96+F97+F98+F99+F100</f>
        <v>16</v>
      </c>
    </row>
    <row r="92" spans="2:6">
      <c r="B92" s="119"/>
      <c r="C92" s="117"/>
      <c r="D92" s="14" t="s">
        <v>281</v>
      </c>
      <c r="E92" s="6"/>
      <c r="F92" s="164"/>
    </row>
    <row r="93" spans="2:6" ht="24">
      <c r="B93" s="119"/>
      <c r="C93" s="117"/>
      <c r="D93" s="207" t="s">
        <v>312</v>
      </c>
      <c r="E93" s="208" t="s">
        <v>21</v>
      </c>
      <c r="F93" s="209">
        <v>3</v>
      </c>
    </row>
    <row r="94" spans="2:6">
      <c r="B94" s="119"/>
      <c r="C94" s="117"/>
      <c r="D94" s="207" t="s">
        <v>311</v>
      </c>
      <c r="E94" s="208" t="s">
        <v>21</v>
      </c>
      <c r="F94" s="209">
        <v>2</v>
      </c>
    </row>
    <row r="95" spans="2:6">
      <c r="B95" s="119"/>
      <c r="C95" s="117"/>
      <c r="D95" s="207" t="s">
        <v>313</v>
      </c>
      <c r="E95" s="208" t="s">
        <v>21</v>
      </c>
      <c r="F95" s="209">
        <v>4</v>
      </c>
    </row>
    <row r="96" spans="2:6">
      <c r="B96" s="119"/>
      <c r="C96" s="117"/>
      <c r="D96" s="207" t="s">
        <v>314</v>
      </c>
      <c r="E96" s="208" t="s">
        <v>21</v>
      </c>
      <c r="F96" s="209">
        <v>2</v>
      </c>
    </row>
    <row r="97" spans="2:6">
      <c r="B97" s="119"/>
      <c r="C97" s="117"/>
      <c r="D97" s="207" t="s">
        <v>317</v>
      </c>
      <c r="E97" s="208" t="s">
        <v>21</v>
      </c>
      <c r="F97" s="209">
        <v>1</v>
      </c>
    </row>
    <row r="98" spans="2:6">
      <c r="B98" s="119"/>
      <c r="C98" s="117"/>
      <c r="D98" s="207" t="s">
        <v>316</v>
      </c>
      <c r="E98" s="208" t="s">
        <v>21</v>
      </c>
      <c r="F98" s="209">
        <v>1</v>
      </c>
    </row>
    <row r="99" spans="2:6">
      <c r="B99" s="119"/>
      <c r="C99" s="117"/>
      <c r="D99" s="207" t="s">
        <v>315</v>
      </c>
      <c r="E99" s="208" t="s">
        <v>21</v>
      </c>
      <c r="F99" s="209">
        <v>1</v>
      </c>
    </row>
    <row r="100" spans="2:6" ht="24">
      <c r="B100" s="5"/>
      <c r="C100" s="14"/>
      <c r="D100" s="207" t="s">
        <v>318</v>
      </c>
      <c r="E100" s="208" t="s">
        <v>21</v>
      </c>
      <c r="F100" s="209">
        <v>2</v>
      </c>
    </row>
    <row r="101" spans="2:6" ht="25.5">
      <c r="B101" s="123" t="s">
        <v>54</v>
      </c>
      <c r="C101" s="15" t="s">
        <v>122</v>
      </c>
      <c r="D101" s="15" t="s">
        <v>319</v>
      </c>
      <c r="E101" s="9" t="s">
        <v>12</v>
      </c>
      <c r="F101" s="158">
        <v>2.5</v>
      </c>
    </row>
    <row r="102" spans="2:6" ht="13.5" customHeight="1" thickBot="1">
      <c r="B102" s="18"/>
      <c r="C102" s="19"/>
      <c r="D102" s="19"/>
      <c r="E102" s="19"/>
      <c r="F102" s="160"/>
    </row>
    <row r="103" spans="2:6" ht="14.25" thickTop="1" thickBot="1">
      <c r="B103" s="11">
        <v>8</v>
      </c>
      <c r="C103" s="23" t="s">
        <v>91</v>
      </c>
      <c r="D103" s="17"/>
      <c r="E103" s="17"/>
      <c r="F103" s="163"/>
    </row>
    <row r="104" spans="2:6" ht="64.5" thickTop="1">
      <c r="B104" s="7" t="s">
        <v>55</v>
      </c>
      <c r="C104" s="15" t="s">
        <v>57</v>
      </c>
      <c r="D104" s="15" t="s">
        <v>323</v>
      </c>
      <c r="E104" s="9" t="s">
        <v>12</v>
      </c>
      <c r="F104" s="159">
        <f>'T4 ch.prawe'!I42+'T3 ch.lewe'!H27</f>
        <v>1632</v>
      </c>
    </row>
    <row r="105" spans="2:6" ht="38.25">
      <c r="B105" s="7" t="s">
        <v>56</v>
      </c>
      <c r="C105" s="15" t="s">
        <v>59</v>
      </c>
      <c r="D105" s="15" t="s">
        <v>200</v>
      </c>
      <c r="E105" s="9" t="s">
        <v>12</v>
      </c>
      <c r="F105" s="159">
        <f>'T4 ch.prawe'!M42+'T3 ch.lewe'!L27</f>
        <v>1187</v>
      </c>
    </row>
    <row r="106" spans="2:6" ht="25.5">
      <c r="B106" s="7" t="s">
        <v>58</v>
      </c>
      <c r="C106" s="15" t="s">
        <v>61</v>
      </c>
      <c r="D106" s="15" t="s">
        <v>235</v>
      </c>
      <c r="E106" s="9" t="s">
        <v>9</v>
      </c>
      <c r="F106" s="159">
        <f>'T2 zj. prawe'!I51+'T1 zjazdy lewe'!I44</f>
        <v>718.9</v>
      </c>
    </row>
    <row r="107" spans="2:6" ht="25.5">
      <c r="B107" s="118" t="s">
        <v>60</v>
      </c>
      <c r="C107" s="116" t="s">
        <v>61</v>
      </c>
      <c r="D107" s="116" t="s">
        <v>212</v>
      </c>
      <c r="E107" s="120" t="s">
        <v>9</v>
      </c>
      <c r="F107" s="166">
        <f>F109+F110+F111</f>
        <v>830</v>
      </c>
    </row>
    <row r="108" spans="2:6">
      <c r="B108" s="119"/>
      <c r="C108" s="117"/>
      <c r="D108" s="117" t="s">
        <v>281</v>
      </c>
      <c r="E108" s="121"/>
      <c r="F108" s="167"/>
    </row>
    <row r="109" spans="2:6">
      <c r="B109" s="119"/>
      <c r="C109" s="117"/>
      <c r="D109" s="207" t="s">
        <v>320</v>
      </c>
      <c r="E109" s="9"/>
      <c r="F109" s="194">
        <f>50*5</f>
        <v>250</v>
      </c>
    </row>
    <row r="110" spans="2:6">
      <c r="B110" s="119"/>
      <c r="C110" s="117"/>
      <c r="D110" s="207" t="s">
        <v>321</v>
      </c>
      <c r="E110" s="9"/>
      <c r="F110" s="194">
        <f>30*11</f>
        <v>330</v>
      </c>
    </row>
    <row r="111" spans="2:6" ht="19.5" customHeight="1">
      <c r="B111" s="5"/>
      <c r="C111" s="14"/>
      <c r="D111" s="207" t="s">
        <v>322</v>
      </c>
      <c r="E111" s="9"/>
      <c r="F111" s="194">
        <f>50*5</f>
        <v>250</v>
      </c>
    </row>
    <row r="112" spans="2:6" ht="43.5" customHeight="1">
      <c r="B112" s="123" t="s">
        <v>62</v>
      </c>
      <c r="C112" s="15" t="s">
        <v>63</v>
      </c>
      <c r="D112" s="15" t="s">
        <v>206</v>
      </c>
      <c r="E112" s="9" t="s">
        <v>9</v>
      </c>
      <c r="F112" s="159">
        <f>'T4 ch.prawe'!H42+'T3 ch.lewe'!G27</f>
        <v>1633.5</v>
      </c>
    </row>
    <row r="113" spans="2:6" ht="66.75" customHeight="1">
      <c r="B113" s="123" t="s">
        <v>73</v>
      </c>
      <c r="C113" s="15" t="s">
        <v>123</v>
      </c>
      <c r="D113" s="15" t="s">
        <v>324</v>
      </c>
      <c r="E113" s="9" t="s">
        <v>12</v>
      </c>
      <c r="F113" s="159">
        <f>'T4 Holland'!F18</f>
        <v>904</v>
      </c>
    </row>
    <row r="114" spans="2:6" ht="30.75" customHeight="1">
      <c r="B114" s="206" t="s">
        <v>92</v>
      </c>
      <c r="C114" s="116" t="s">
        <v>330</v>
      </c>
      <c r="D114" s="116" t="s">
        <v>329</v>
      </c>
      <c r="E114" s="144" t="s">
        <v>21</v>
      </c>
      <c r="F114" s="166">
        <f>F116+F117+F118+F119</f>
        <v>10</v>
      </c>
    </row>
    <row r="115" spans="2:6" ht="16.5" customHeight="1">
      <c r="B115" s="211"/>
      <c r="C115" s="117"/>
      <c r="D115" s="14" t="s">
        <v>281</v>
      </c>
      <c r="E115" s="198"/>
      <c r="F115" s="162"/>
    </row>
    <row r="116" spans="2:6" ht="16.5" customHeight="1">
      <c r="B116" s="211"/>
      <c r="C116" s="117"/>
      <c r="D116" s="116" t="s">
        <v>327</v>
      </c>
      <c r="E116" s="144" t="s">
        <v>21</v>
      </c>
      <c r="F116" s="214">
        <v>1</v>
      </c>
    </row>
    <row r="117" spans="2:6" ht="16.5" customHeight="1">
      <c r="B117" s="211"/>
      <c r="C117" s="117"/>
      <c r="D117" s="116" t="s">
        <v>294</v>
      </c>
      <c r="E117" s="144" t="s">
        <v>21</v>
      </c>
      <c r="F117" s="214">
        <v>1</v>
      </c>
    </row>
    <row r="118" spans="2:6" ht="16.5" customHeight="1">
      <c r="B118" s="211"/>
      <c r="C118" s="117"/>
      <c r="D118" s="116" t="s">
        <v>328</v>
      </c>
      <c r="E118" s="144" t="s">
        <v>21</v>
      </c>
      <c r="F118" s="214">
        <v>3</v>
      </c>
    </row>
    <row r="119" spans="2:6" ht="16.5" customHeight="1">
      <c r="B119" s="211"/>
      <c r="C119" s="117"/>
      <c r="D119" s="116" t="s">
        <v>304</v>
      </c>
      <c r="E119" s="144" t="s">
        <v>21</v>
      </c>
      <c r="F119" s="214">
        <v>5</v>
      </c>
    </row>
    <row r="120" spans="2:6" ht="38.25">
      <c r="B120" s="206" t="s">
        <v>93</v>
      </c>
      <c r="C120" s="116" t="s">
        <v>331</v>
      </c>
      <c r="D120" s="116" t="s">
        <v>354</v>
      </c>
      <c r="E120" s="144" t="s">
        <v>113</v>
      </c>
      <c r="F120" s="165">
        <f>F122+F123</f>
        <v>2</v>
      </c>
    </row>
    <row r="121" spans="2:6">
      <c r="B121" s="211"/>
      <c r="C121" s="117"/>
      <c r="D121" s="14" t="s">
        <v>281</v>
      </c>
      <c r="E121" s="198"/>
      <c r="F121" s="164"/>
    </row>
    <row r="122" spans="2:6">
      <c r="B122" s="211"/>
      <c r="C122" s="117"/>
      <c r="D122" s="15" t="s">
        <v>325</v>
      </c>
      <c r="E122" s="113" t="s">
        <v>113</v>
      </c>
      <c r="F122" s="191">
        <v>1</v>
      </c>
    </row>
    <row r="123" spans="2:6">
      <c r="B123" s="212"/>
      <c r="C123" s="200"/>
      <c r="D123" s="210" t="s">
        <v>326</v>
      </c>
      <c r="E123" s="113" t="s">
        <v>113</v>
      </c>
      <c r="F123" s="213">
        <v>1</v>
      </c>
    </row>
    <row r="124" spans="2:6" ht="13.5" thickBot="1">
      <c r="B124" s="18"/>
      <c r="C124" s="19"/>
      <c r="D124" s="19"/>
      <c r="E124" s="19"/>
      <c r="F124" s="160"/>
    </row>
    <row r="125" spans="2:6" ht="13.5" thickTop="1"/>
  </sheetData>
  <sheetProtection password="CAC3" sheet="1" objects="1" scenarios="1"/>
  <pageMargins left="0.3" right="0.23" top="0.78740157480314965" bottom="0.62" header="0.35433070866141736" footer="0.36"/>
  <pageSetup paperSize="9" orientation="portrait" r:id="rId1"/>
  <headerFooter alignWithMargins="0">
    <oddHeader xml:space="preserve">&amp;CPrzedmiar robót
Przebudowa ulicy Krótka, Partyzantów, P.P. Brzozy i Kanonijakiej w Skalbmierzu.
 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0"/>
  <sheetViews>
    <sheetView showGridLines="0" workbookViewId="0">
      <selection activeCell="J21" sqref="J21"/>
    </sheetView>
  </sheetViews>
  <sheetFormatPr defaultRowHeight="12.75"/>
  <cols>
    <col min="1" max="1" width="3.5703125" customWidth="1"/>
    <col min="2" max="2" width="4.140625" customWidth="1"/>
    <col min="3" max="3" width="9.140625" customWidth="1"/>
    <col min="6" max="6" width="7.85546875" customWidth="1"/>
    <col min="7" max="7" width="7.140625" customWidth="1"/>
    <col min="8" max="8" width="6.7109375" customWidth="1"/>
    <col min="9" max="9" width="8.7109375" customWidth="1"/>
    <col min="11" max="11" width="9.5703125" style="42" customWidth="1"/>
    <col min="12" max="12" width="11.85546875" customWidth="1"/>
  </cols>
  <sheetData>
    <row r="1" spans="2:12" ht="15">
      <c r="B1" s="247" t="s">
        <v>126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2" ht="15"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2:12">
      <c r="B3" s="1"/>
      <c r="C3" s="1"/>
      <c r="D3" s="1"/>
      <c r="E3" s="1"/>
      <c r="F3" s="1"/>
      <c r="G3" s="1"/>
      <c r="H3" s="1"/>
      <c r="I3" s="1"/>
      <c r="J3" s="1"/>
      <c r="K3" s="26"/>
    </row>
    <row r="4" spans="2:12" ht="24">
      <c r="B4" s="251" t="s">
        <v>127</v>
      </c>
      <c r="C4" s="251" t="s">
        <v>128</v>
      </c>
      <c r="D4" s="251" t="s">
        <v>129</v>
      </c>
      <c r="E4" s="251" t="s">
        <v>130</v>
      </c>
      <c r="F4" s="27" t="s">
        <v>131</v>
      </c>
      <c r="G4" s="27" t="s">
        <v>132</v>
      </c>
      <c r="H4" s="27" t="s">
        <v>133</v>
      </c>
      <c r="I4" s="27" t="s">
        <v>134</v>
      </c>
      <c r="J4" s="27" t="s">
        <v>135</v>
      </c>
      <c r="K4" s="28" t="s">
        <v>136</v>
      </c>
    </row>
    <row r="5" spans="2:12">
      <c r="B5" s="251"/>
      <c r="C5" s="251"/>
      <c r="D5" s="251"/>
      <c r="E5" s="251"/>
      <c r="F5" s="27" t="s">
        <v>12</v>
      </c>
      <c r="G5" s="27" t="s">
        <v>12</v>
      </c>
      <c r="H5" s="27" t="s">
        <v>9</v>
      </c>
      <c r="I5" s="27" t="s">
        <v>9</v>
      </c>
      <c r="J5" s="27" t="s">
        <v>12</v>
      </c>
      <c r="K5" s="28" t="s">
        <v>137</v>
      </c>
    </row>
    <row r="6" spans="2:12">
      <c r="B6" s="241">
        <v>1</v>
      </c>
      <c r="C6" s="245">
        <v>29</v>
      </c>
      <c r="D6" s="241" t="s">
        <v>139</v>
      </c>
      <c r="E6" s="30" t="s">
        <v>140</v>
      </c>
      <c r="F6" s="31">
        <v>5</v>
      </c>
      <c r="G6" s="31">
        <v>1.5</v>
      </c>
      <c r="H6" s="31"/>
      <c r="I6" s="31">
        <f t="shared" ref="I6:I38" si="0">F6*G6+H6</f>
        <v>7.5</v>
      </c>
      <c r="J6" s="31"/>
      <c r="K6" s="28"/>
      <c r="L6" t="s">
        <v>207</v>
      </c>
    </row>
    <row r="7" spans="2:12">
      <c r="B7" s="242"/>
      <c r="C7" s="246"/>
      <c r="D7" s="242"/>
      <c r="E7" s="33"/>
      <c r="F7" s="34"/>
      <c r="G7" s="34"/>
      <c r="H7" s="34"/>
      <c r="I7" s="34"/>
      <c r="J7" s="31"/>
      <c r="K7" s="28"/>
    </row>
    <row r="8" spans="2:12">
      <c r="B8" s="241">
        <v>2</v>
      </c>
      <c r="C8" s="245">
        <v>53</v>
      </c>
      <c r="D8" s="241" t="s">
        <v>139</v>
      </c>
      <c r="E8" s="30" t="s">
        <v>140</v>
      </c>
      <c r="F8" s="31">
        <v>5</v>
      </c>
      <c r="G8" s="31">
        <v>1.5</v>
      </c>
      <c r="H8" s="31"/>
      <c r="I8" s="31">
        <f t="shared" si="0"/>
        <v>7.5</v>
      </c>
      <c r="J8" s="31"/>
      <c r="K8" s="28"/>
    </row>
    <row r="9" spans="2:12">
      <c r="B9" s="242"/>
      <c r="C9" s="246"/>
      <c r="D9" s="242"/>
      <c r="E9" s="33"/>
      <c r="F9" s="34"/>
      <c r="G9" s="34"/>
      <c r="H9" s="34"/>
      <c r="I9" s="34"/>
      <c r="J9" s="31"/>
      <c r="K9" s="28"/>
    </row>
    <row r="10" spans="2:12">
      <c r="B10" s="241">
        <v>3</v>
      </c>
      <c r="C10" s="245">
        <v>70.5</v>
      </c>
      <c r="D10" s="241" t="s">
        <v>139</v>
      </c>
      <c r="E10" s="30" t="s">
        <v>140</v>
      </c>
      <c r="F10" s="31">
        <v>5</v>
      </c>
      <c r="G10" s="31">
        <v>1.5</v>
      </c>
      <c r="H10" s="31"/>
      <c r="I10" s="31">
        <f>F10*G10+H10</f>
        <v>7.5</v>
      </c>
      <c r="J10" s="31"/>
      <c r="K10" s="28"/>
    </row>
    <row r="11" spans="2:12">
      <c r="B11" s="242"/>
      <c r="C11" s="246"/>
      <c r="D11" s="242"/>
      <c r="E11" s="33"/>
      <c r="F11" s="34"/>
      <c r="G11" s="34"/>
      <c r="H11" s="34"/>
      <c r="I11" s="34"/>
      <c r="J11" s="31"/>
      <c r="K11" s="28"/>
    </row>
    <row r="12" spans="2:12">
      <c r="B12" s="241">
        <v>4</v>
      </c>
      <c r="C12" s="245">
        <v>115</v>
      </c>
      <c r="D12" s="241" t="s">
        <v>139</v>
      </c>
      <c r="E12" s="30" t="s">
        <v>140</v>
      </c>
      <c r="F12" s="31">
        <v>10</v>
      </c>
      <c r="G12" s="31">
        <v>1.5</v>
      </c>
      <c r="H12" s="31"/>
      <c r="I12" s="31">
        <f t="shared" si="0"/>
        <v>15</v>
      </c>
      <c r="J12" s="31"/>
      <c r="K12" s="28"/>
    </row>
    <row r="13" spans="2:12">
      <c r="B13" s="242"/>
      <c r="C13" s="246"/>
      <c r="D13" s="242"/>
      <c r="E13" s="30"/>
      <c r="F13" s="31"/>
      <c r="G13" s="31"/>
      <c r="H13" s="31"/>
      <c r="I13" s="31"/>
      <c r="J13" s="31"/>
      <c r="K13" s="28"/>
    </row>
    <row r="14" spans="2:12">
      <c r="B14" s="241">
        <v>5</v>
      </c>
      <c r="C14" s="245">
        <v>179</v>
      </c>
      <c r="D14" s="241" t="s">
        <v>139</v>
      </c>
      <c r="E14" s="30" t="s">
        <v>140</v>
      </c>
      <c r="F14" s="31">
        <v>5</v>
      </c>
      <c r="G14" s="31">
        <v>2</v>
      </c>
      <c r="H14" s="31"/>
      <c r="I14" s="31">
        <f t="shared" si="0"/>
        <v>10</v>
      </c>
      <c r="J14" s="31"/>
      <c r="K14" s="28"/>
    </row>
    <row r="15" spans="2:12">
      <c r="B15" s="242"/>
      <c r="C15" s="246"/>
      <c r="D15" s="242"/>
      <c r="E15" s="30"/>
      <c r="F15" s="31"/>
      <c r="G15" s="31"/>
      <c r="H15" s="31"/>
      <c r="I15" s="31"/>
      <c r="J15" s="31"/>
      <c r="K15" s="28"/>
    </row>
    <row r="16" spans="2:12">
      <c r="B16" s="241">
        <v>6</v>
      </c>
      <c r="C16" s="245">
        <v>192</v>
      </c>
      <c r="D16" s="241" t="s">
        <v>139</v>
      </c>
      <c r="E16" s="30" t="s">
        <v>140</v>
      </c>
      <c r="F16" s="31">
        <v>5</v>
      </c>
      <c r="G16" s="31">
        <v>2</v>
      </c>
      <c r="H16" s="31"/>
      <c r="I16" s="31">
        <f t="shared" si="0"/>
        <v>10</v>
      </c>
      <c r="J16" s="31"/>
      <c r="K16" s="28"/>
    </row>
    <row r="17" spans="2:11">
      <c r="B17" s="242"/>
      <c r="C17" s="246"/>
      <c r="D17" s="242"/>
      <c r="E17" s="30"/>
      <c r="F17" s="31"/>
      <c r="G17" s="31"/>
      <c r="H17" s="31"/>
      <c r="I17" s="31">
        <f t="shared" si="0"/>
        <v>0</v>
      </c>
      <c r="J17" s="31"/>
      <c r="K17" s="28"/>
    </row>
    <row r="18" spans="2:11">
      <c r="B18" s="241">
        <v>7</v>
      </c>
      <c r="C18" s="245">
        <v>229</v>
      </c>
      <c r="D18" s="241" t="s">
        <v>139</v>
      </c>
      <c r="E18" s="30" t="s">
        <v>140</v>
      </c>
      <c r="F18" s="31">
        <v>5</v>
      </c>
      <c r="G18" s="31">
        <v>3</v>
      </c>
      <c r="H18" s="31"/>
      <c r="I18" s="31">
        <f t="shared" si="0"/>
        <v>15</v>
      </c>
      <c r="J18" s="31"/>
      <c r="K18" s="28"/>
    </row>
    <row r="19" spans="2:11">
      <c r="B19" s="242"/>
      <c r="C19" s="246"/>
      <c r="D19" s="242"/>
      <c r="E19" s="30"/>
      <c r="F19" s="31"/>
      <c r="G19" s="31"/>
      <c r="H19" s="31"/>
      <c r="I19" s="31"/>
      <c r="J19" s="31"/>
      <c r="K19" s="28"/>
    </row>
    <row r="20" spans="2:11">
      <c r="B20" s="241">
        <v>8</v>
      </c>
      <c r="C20" s="245">
        <v>254</v>
      </c>
      <c r="D20" s="241" t="s">
        <v>139</v>
      </c>
      <c r="E20" s="30" t="s">
        <v>140</v>
      </c>
      <c r="F20" s="31">
        <v>10</v>
      </c>
      <c r="G20" s="31">
        <v>1.5</v>
      </c>
      <c r="H20" s="31"/>
      <c r="I20" s="31">
        <f t="shared" ref="I20" si="1">F20*G20+H20</f>
        <v>15</v>
      </c>
      <c r="J20" s="31"/>
      <c r="K20" s="28"/>
    </row>
    <row r="21" spans="2:11">
      <c r="B21" s="242"/>
      <c r="C21" s="246"/>
      <c r="D21" s="242"/>
      <c r="E21" s="30"/>
      <c r="F21" s="31"/>
      <c r="G21" s="31"/>
      <c r="H21" s="31"/>
      <c r="I21" s="31"/>
      <c r="J21" s="31"/>
      <c r="K21" s="28"/>
    </row>
    <row r="22" spans="2:11">
      <c r="B22" s="241">
        <v>9</v>
      </c>
      <c r="C22" s="245">
        <v>270</v>
      </c>
      <c r="D22" s="241" t="s">
        <v>139</v>
      </c>
      <c r="E22" s="30" t="s">
        <v>140</v>
      </c>
      <c r="F22" s="31">
        <v>5</v>
      </c>
      <c r="G22" s="31">
        <v>2</v>
      </c>
      <c r="H22" s="31"/>
      <c r="I22" s="31">
        <f t="shared" si="0"/>
        <v>10</v>
      </c>
      <c r="J22" s="31"/>
      <c r="K22" s="28"/>
    </row>
    <row r="23" spans="2:11">
      <c r="B23" s="242"/>
      <c r="C23" s="246"/>
      <c r="D23" s="242"/>
      <c r="E23" s="30"/>
      <c r="F23" s="31"/>
      <c r="G23" s="31"/>
      <c r="H23" s="31"/>
      <c r="I23" s="31"/>
      <c r="J23" s="31"/>
      <c r="K23" s="28"/>
    </row>
    <row r="24" spans="2:11">
      <c r="B24" s="241">
        <v>10</v>
      </c>
      <c r="C24" s="245">
        <v>308.5</v>
      </c>
      <c r="D24" s="241" t="s">
        <v>139</v>
      </c>
      <c r="E24" s="30" t="s">
        <v>140</v>
      </c>
      <c r="F24" s="31">
        <v>16</v>
      </c>
      <c r="G24" s="31">
        <v>1.5</v>
      </c>
      <c r="H24" s="31"/>
      <c r="I24" s="31">
        <f t="shared" si="0"/>
        <v>24</v>
      </c>
      <c r="J24" s="31"/>
      <c r="K24" s="28"/>
    </row>
    <row r="25" spans="2:11">
      <c r="B25" s="242"/>
      <c r="C25" s="246"/>
      <c r="D25" s="242"/>
      <c r="E25" s="30"/>
      <c r="F25" s="31"/>
      <c r="G25" s="31"/>
      <c r="H25" s="31"/>
      <c r="I25" s="31"/>
      <c r="J25" s="31"/>
      <c r="K25" s="28"/>
    </row>
    <row r="26" spans="2:11">
      <c r="B26" s="241">
        <v>11</v>
      </c>
      <c r="C26" s="245">
        <v>339.5</v>
      </c>
      <c r="D26" s="241" t="s">
        <v>139</v>
      </c>
      <c r="E26" s="30" t="s">
        <v>140</v>
      </c>
      <c r="F26" s="31">
        <v>7</v>
      </c>
      <c r="G26" s="31">
        <v>1.5</v>
      </c>
      <c r="H26" s="31"/>
      <c r="I26" s="31">
        <f t="shared" si="0"/>
        <v>10.5</v>
      </c>
      <c r="J26" s="31"/>
      <c r="K26" s="28"/>
    </row>
    <row r="27" spans="2:11">
      <c r="B27" s="242"/>
      <c r="C27" s="246"/>
      <c r="D27" s="242"/>
      <c r="E27" s="30"/>
      <c r="F27" s="31"/>
      <c r="G27" s="31"/>
      <c r="H27" s="31"/>
      <c r="I27" s="31"/>
      <c r="J27" s="31"/>
      <c r="K27" s="28"/>
    </row>
    <row r="28" spans="2:11">
      <c r="B28" s="241">
        <v>12</v>
      </c>
      <c r="C28" s="245">
        <v>380</v>
      </c>
      <c r="D28" s="241" t="s">
        <v>139</v>
      </c>
      <c r="E28" s="30" t="s">
        <v>140</v>
      </c>
      <c r="F28" s="31">
        <v>6</v>
      </c>
      <c r="G28" s="31">
        <v>4.5</v>
      </c>
      <c r="H28" s="31"/>
      <c r="I28" s="31">
        <f t="shared" si="0"/>
        <v>27</v>
      </c>
      <c r="J28" s="31"/>
      <c r="K28" s="28"/>
    </row>
    <row r="29" spans="2:11">
      <c r="B29" s="242"/>
      <c r="C29" s="246"/>
      <c r="D29" s="242"/>
      <c r="E29" s="30"/>
      <c r="F29" s="31"/>
      <c r="G29" s="31"/>
      <c r="H29" s="31"/>
      <c r="I29" s="31"/>
      <c r="J29" s="31">
        <v>6</v>
      </c>
      <c r="K29" s="28">
        <v>2</v>
      </c>
    </row>
    <row r="30" spans="2:11">
      <c r="B30" s="241">
        <v>13</v>
      </c>
      <c r="C30" s="245">
        <v>409</v>
      </c>
      <c r="D30" s="241" t="s">
        <v>139</v>
      </c>
      <c r="E30" s="30" t="s">
        <v>140</v>
      </c>
      <c r="F30" s="31">
        <v>10</v>
      </c>
      <c r="G30" s="31">
        <v>5</v>
      </c>
      <c r="H30" s="31"/>
      <c r="I30" s="31">
        <f t="shared" si="0"/>
        <v>50</v>
      </c>
      <c r="J30" s="31"/>
      <c r="K30" s="28"/>
    </row>
    <row r="31" spans="2:11">
      <c r="B31" s="242"/>
      <c r="C31" s="246"/>
      <c r="D31" s="242"/>
      <c r="E31" s="30"/>
      <c r="F31" s="31"/>
      <c r="G31" s="31"/>
      <c r="H31" s="31"/>
      <c r="I31" s="31"/>
      <c r="J31" s="31">
        <v>10</v>
      </c>
      <c r="K31" s="28">
        <v>2</v>
      </c>
    </row>
    <row r="32" spans="2:11">
      <c r="B32" s="241">
        <v>14</v>
      </c>
      <c r="C32" s="245">
        <v>429</v>
      </c>
      <c r="D32" s="241" t="s">
        <v>139</v>
      </c>
      <c r="E32" s="30" t="s">
        <v>140</v>
      </c>
      <c r="F32" s="31">
        <v>6</v>
      </c>
      <c r="G32" s="31">
        <v>5</v>
      </c>
      <c r="H32" s="31"/>
      <c r="I32" s="31">
        <f t="shared" si="0"/>
        <v>30</v>
      </c>
      <c r="J32" s="31"/>
      <c r="K32" s="28"/>
    </row>
    <row r="33" spans="2:12">
      <c r="B33" s="242"/>
      <c r="C33" s="246"/>
      <c r="D33" s="242"/>
      <c r="E33" s="30"/>
      <c r="F33" s="31"/>
      <c r="G33" s="31"/>
      <c r="H33" s="31"/>
      <c r="I33" s="31"/>
      <c r="J33" s="31">
        <v>6</v>
      </c>
      <c r="K33" s="28">
        <v>2</v>
      </c>
    </row>
    <row r="34" spans="2:12" ht="14.25" customHeight="1">
      <c r="B34" s="241">
        <v>15</v>
      </c>
      <c r="C34" s="245">
        <v>443</v>
      </c>
      <c r="D34" s="241" t="s">
        <v>139</v>
      </c>
      <c r="E34" s="30" t="s">
        <v>140</v>
      </c>
      <c r="F34" s="31">
        <v>5</v>
      </c>
      <c r="G34" s="31">
        <v>5</v>
      </c>
      <c r="H34" s="31"/>
      <c r="I34" s="31">
        <f t="shared" si="0"/>
        <v>25</v>
      </c>
      <c r="J34" s="31"/>
      <c r="K34" s="28"/>
      <c r="L34" s="107"/>
    </row>
    <row r="35" spans="2:12" ht="10.5" customHeight="1">
      <c r="B35" s="242"/>
      <c r="C35" s="246"/>
      <c r="D35" s="242"/>
      <c r="E35" s="33"/>
      <c r="F35" s="34"/>
      <c r="G35" s="34"/>
      <c r="H35" s="34"/>
      <c r="I35" s="34"/>
      <c r="J35" s="31">
        <v>5</v>
      </c>
      <c r="K35" s="28">
        <v>2</v>
      </c>
    </row>
    <row r="36" spans="2:12">
      <c r="B36" s="241">
        <v>16</v>
      </c>
      <c r="C36" s="245">
        <v>460</v>
      </c>
      <c r="D36" s="241" t="s">
        <v>139</v>
      </c>
      <c r="E36" s="30" t="s">
        <v>140</v>
      </c>
      <c r="F36" s="31">
        <v>5</v>
      </c>
      <c r="G36" s="31">
        <v>5</v>
      </c>
      <c r="H36" s="31"/>
      <c r="I36" s="31">
        <f t="shared" si="0"/>
        <v>25</v>
      </c>
      <c r="J36" s="31"/>
      <c r="K36" s="28"/>
    </row>
    <row r="37" spans="2:12">
      <c r="B37" s="242"/>
      <c r="C37" s="246"/>
      <c r="D37" s="242"/>
      <c r="E37" s="33"/>
      <c r="F37" s="34"/>
      <c r="G37" s="34"/>
      <c r="H37" s="34"/>
      <c r="I37" s="31"/>
      <c r="J37" s="31">
        <v>5</v>
      </c>
      <c r="K37" s="28">
        <v>2</v>
      </c>
    </row>
    <row r="38" spans="2:12">
      <c r="B38" s="241">
        <v>17</v>
      </c>
      <c r="C38" s="245">
        <v>488</v>
      </c>
      <c r="D38" s="241" t="s">
        <v>139</v>
      </c>
      <c r="E38" s="30" t="s">
        <v>140</v>
      </c>
      <c r="F38" s="31">
        <v>8</v>
      </c>
      <c r="G38" s="31">
        <v>1.5</v>
      </c>
      <c r="H38" s="31"/>
      <c r="I38" s="31">
        <f t="shared" si="0"/>
        <v>12</v>
      </c>
      <c r="J38" s="31"/>
      <c r="K38" s="28"/>
      <c r="L38" t="s">
        <v>207</v>
      </c>
    </row>
    <row r="39" spans="2:12">
      <c r="B39" s="242"/>
      <c r="C39" s="246"/>
      <c r="D39" s="242"/>
      <c r="E39" s="30"/>
      <c r="F39" s="31"/>
      <c r="G39" s="31"/>
      <c r="H39" s="31"/>
      <c r="I39" s="31"/>
      <c r="J39" s="31"/>
      <c r="K39" s="28"/>
    </row>
    <row r="40" spans="2:12">
      <c r="B40" s="241">
        <v>18</v>
      </c>
      <c r="C40" s="243">
        <v>132</v>
      </c>
      <c r="D40" s="241" t="s">
        <v>139</v>
      </c>
      <c r="E40" s="30" t="s">
        <v>140</v>
      </c>
      <c r="F40" s="31">
        <v>5.8</v>
      </c>
      <c r="G40" s="31">
        <v>3.6</v>
      </c>
      <c r="H40" s="31"/>
      <c r="I40" s="31">
        <f t="shared" ref="I40" si="2">F40*G40+H40</f>
        <v>20.9</v>
      </c>
      <c r="J40" s="31"/>
      <c r="K40" s="28"/>
      <c r="L40" t="s">
        <v>204</v>
      </c>
    </row>
    <row r="41" spans="2:12">
      <c r="B41" s="242"/>
      <c r="C41" s="244"/>
      <c r="D41" s="242"/>
      <c r="E41" s="30"/>
      <c r="F41" s="31"/>
      <c r="G41" s="31"/>
      <c r="H41" s="31"/>
      <c r="I41" s="31"/>
      <c r="J41" s="31"/>
      <c r="K41" s="28"/>
    </row>
    <row r="42" spans="2:12">
      <c r="B42" s="32"/>
      <c r="C42" s="255" t="s">
        <v>141</v>
      </c>
      <c r="D42" s="257"/>
      <c r="E42" s="33"/>
      <c r="F42" s="34"/>
      <c r="G42" s="34"/>
      <c r="H42" s="34"/>
      <c r="I42" s="31">
        <v>20</v>
      </c>
      <c r="J42" s="31"/>
      <c r="K42" s="28">
        <v>2</v>
      </c>
    </row>
    <row r="43" spans="2:12" ht="13.5" thickBot="1">
      <c r="B43" s="37"/>
      <c r="C43" s="258"/>
      <c r="D43" s="259"/>
      <c r="E43" s="29" t="s">
        <v>140</v>
      </c>
      <c r="F43" s="38"/>
      <c r="G43" s="38"/>
      <c r="H43" s="38"/>
      <c r="I43" s="168"/>
      <c r="J43" s="168"/>
      <c r="K43" s="39"/>
    </row>
    <row r="44" spans="2:12" ht="14.25" thickTop="1" thickBot="1">
      <c r="B44" s="260" t="s">
        <v>142</v>
      </c>
      <c r="C44" s="261"/>
      <c r="D44" s="261"/>
      <c r="E44" s="262"/>
      <c r="F44" s="40">
        <f>SUM(F6:F43)</f>
        <v>123.8</v>
      </c>
      <c r="G44" s="40"/>
      <c r="H44" s="40"/>
      <c r="I44" s="40">
        <f>SUM(I6:I43)</f>
        <v>341.9</v>
      </c>
      <c r="J44" s="40">
        <f>SUM(J6:J43)</f>
        <v>32</v>
      </c>
      <c r="K44" s="40">
        <f>SUM(K6:K43)</f>
        <v>12</v>
      </c>
    </row>
    <row r="45" spans="2:12" ht="13.5" thickTop="1">
      <c r="B45" s="30"/>
      <c r="C45" s="30"/>
      <c r="D45" s="36"/>
      <c r="E45" s="30"/>
      <c r="F45" s="31"/>
      <c r="G45" s="31"/>
      <c r="H45" s="31"/>
      <c r="I45" s="31"/>
      <c r="J45" s="31"/>
      <c r="K45" s="28"/>
    </row>
    <row r="46" spans="2:12">
      <c r="B46" s="30"/>
      <c r="C46" s="30"/>
      <c r="D46" s="252" t="s">
        <v>143</v>
      </c>
      <c r="E46" s="253"/>
      <c r="F46" s="253"/>
      <c r="G46" s="253"/>
      <c r="H46" s="254"/>
      <c r="I46" s="31">
        <f>I44-I45</f>
        <v>341.9</v>
      </c>
      <c r="J46" s="31"/>
      <c r="K46" s="28"/>
    </row>
    <row r="47" spans="2:12">
      <c r="B47" s="30"/>
      <c r="C47" s="30"/>
      <c r="D47" s="252" t="s">
        <v>144</v>
      </c>
      <c r="E47" s="253"/>
      <c r="F47" s="253"/>
      <c r="G47" s="253"/>
      <c r="H47" s="254"/>
      <c r="I47" s="31"/>
      <c r="J47" s="31"/>
      <c r="K47" s="28"/>
    </row>
    <row r="48" spans="2:12">
      <c r="B48" s="30"/>
      <c r="C48" s="30"/>
      <c r="D48" s="255" t="s">
        <v>145</v>
      </c>
      <c r="E48" s="256"/>
      <c r="F48" s="256"/>
      <c r="G48" s="256"/>
      <c r="H48" s="257"/>
      <c r="I48" s="31"/>
      <c r="J48" s="31"/>
      <c r="K48" s="28"/>
    </row>
    <row r="49" spans="2:11">
      <c r="B49" s="30"/>
      <c r="C49" s="30"/>
      <c r="D49" s="36"/>
      <c r="E49" s="30"/>
      <c r="F49" s="31"/>
      <c r="G49" s="31"/>
      <c r="H49" s="31"/>
      <c r="I49" s="31"/>
      <c r="J49" s="31"/>
      <c r="K49" s="28"/>
    </row>
    <row r="50" spans="2:11">
      <c r="C50" t="s">
        <v>146</v>
      </c>
      <c r="D50" s="1"/>
      <c r="E50" s="1"/>
      <c r="F50" s="41"/>
      <c r="G50" s="41"/>
      <c r="H50" s="41"/>
      <c r="I50" s="41"/>
      <c r="J50" s="41"/>
      <c r="K50" s="26"/>
    </row>
  </sheetData>
  <sheetProtection password="CAC3" sheet="1" objects="1" scenarios="1"/>
  <mergeCells count="66">
    <mergeCell ref="B34:B35"/>
    <mergeCell ref="C34:C35"/>
    <mergeCell ref="D34:D35"/>
    <mergeCell ref="D47:H47"/>
    <mergeCell ref="D48:H48"/>
    <mergeCell ref="C43:D43"/>
    <mergeCell ref="B44:E44"/>
    <mergeCell ref="D46:H46"/>
    <mergeCell ref="C42:D42"/>
    <mergeCell ref="B38:B39"/>
    <mergeCell ref="B36:B37"/>
    <mergeCell ref="C36:C37"/>
    <mergeCell ref="D36:D37"/>
    <mergeCell ref="C38:C39"/>
    <mergeCell ref="D38:D39"/>
    <mergeCell ref="B30:B31"/>
    <mergeCell ref="C30:C31"/>
    <mergeCell ref="D30:D31"/>
    <mergeCell ref="D32:D33"/>
    <mergeCell ref="B32:B33"/>
    <mergeCell ref="C32:C33"/>
    <mergeCell ref="B28:B29"/>
    <mergeCell ref="C28:C29"/>
    <mergeCell ref="D28:D29"/>
    <mergeCell ref="D26:D27"/>
    <mergeCell ref="D24:D25"/>
    <mergeCell ref="B26:B27"/>
    <mergeCell ref="C26:C27"/>
    <mergeCell ref="B24:B25"/>
    <mergeCell ref="C24:C25"/>
    <mergeCell ref="B8:B9"/>
    <mergeCell ref="C8:C9"/>
    <mergeCell ref="D22:D23"/>
    <mergeCell ref="B18:B19"/>
    <mergeCell ref="C18:C19"/>
    <mergeCell ref="D18:D19"/>
    <mergeCell ref="B20:B21"/>
    <mergeCell ref="C20:C21"/>
    <mergeCell ref="D20:D21"/>
    <mergeCell ref="B14:B15"/>
    <mergeCell ref="C14:C15"/>
    <mergeCell ref="D10:D11"/>
    <mergeCell ref="B22:B23"/>
    <mergeCell ref="C22:C23"/>
    <mergeCell ref="B1:K1"/>
    <mergeCell ref="B2:K2"/>
    <mergeCell ref="B4:B5"/>
    <mergeCell ref="C4:C5"/>
    <mergeCell ref="D4:D5"/>
    <mergeCell ref="E4:E5"/>
    <mergeCell ref="B40:B41"/>
    <mergeCell ref="C40:C41"/>
    <mergeCell ref="D40:D41"/>
    <mergeCell ref="B6:B7"/>
    <mergeCell ref="C6:C7"/>
    <mergeCell ref="D6:D7"/>
    <mergeCell ref="D8:D9"/>
    <mergeCell ref="B10:B11"/>
    <mergeCell ref="C10:C11"/>
    <mergeCell ref="B16:B17"/>
    <mergeCell ref="C16:C17"/>
    <mergeCell ref="D16:D17"/>
    <mergeCell ref="B12:B13"/>
    <mergeCell ref="C12:C13"/>
    <mergeCell ref="D12:D13"/>
    <mergeCell ref="D14:D15"/>
  </mergeCells>
  <phoneticPr fontId="2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Normal="100" workbookViewId="0">
      <selection activeCell="G9" sqref="G9"/>
    </sheetView>
  </sheetViews>
  <sheetFormatPr defaultRowHeight="12.75"/>
  <cols>
    <col min="1" max="1" width="2.42578125" style="1" customWidth="1"/>
    <col min="2" max="2" width="3.5703125" style="1" customWidth="1"/>
    <col min="3" max="3" width="8.28515625" style="1" customWidth="1"/>
    <col min="4" max="4" width="9.5703125" style="1" customWidth="1"/>
    <col min="5" max="5" width="9.28515625" style="1" customWidth="1"/>
    <col min="6" max="6" width="6.85546875" style="1" customWidth="1"/>
    <col min="7" max="7" width="6.42578125" style="1" customWidth="1"/>
    <col min="8" max="8" width="6.28515625" style="1" customWidth="1"/>
    <col min="9" max="9" width="7.7109375" style="1" customWidth="1"/>
    <col min="10" max="11" width="8.5703125" style="1" customWidth="1"/>
    <col min="12" max="12" width="7.7109375" style="1" customWidth="1"/>
    <col min="13" max="13" width="11.7109375" style="1" customWidth="1"/>
    <col min="14" max="16384" width="9.140625" style="1"/>
  </cols>
  <sheetData>
    <row r="1" spans="2:13" ht="15">
      <c r="B1" s="247" t="s">
        <v>147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3" spans="2:13" ht="33.75" customHeight="1">
      <c r="B3" s="251" t="s">
        <v>127</v>
      </c>
      <c r="C3" s="251" t="s">
        <v>7</v>
      </c>
      <c r="D3" s="251" t="s">
        <v>129</v>
      </c>
      <c r="E3" s="251" t="s">
        <v>130</v>
      </c>
      <c r="F3" s="27" t="s">
        <v>131</v>
      </c>
      <c r="G3" s="27" t="s">
        <v>132</v>
      </c>
      <c r="H3" s="27" t="s">
        <v>133</v>
      </c>
      <c r="I3" s="27" t="s">
        <v>134</v>
      </c>
      <c r="J3" s="27" t="s">
        <v>135</v>
      </c>
      <c r="K3" s="27" t="s">
        <v>148</v>
      </c>
      <c r="L3" s="27" t="s">
        <v>136</v>
      </c>
    </row>
    <row r="4" spans="2:13" ht="15.75" customHeight="1">
      <c r="B4" s="251"/>
      <c r="C4" s="251"/>
      <c r="D4" s="251"/>
      <c r="E4" s="251"/>
      <c r="F4" s="27" t="s">
        <v>12</v>
      </c>
      <c r="G4" s="27" t="s">
        <v>12</v>
      </c>
      <c r="H4" s="27" t="s">
        <v>9</v>
      </c>
      <c r="I4" s="27" t="s">
        <v>9</v>
      </c>
      <c r="J4" s="27" t="s">
        <v>12</v>
      </c>
      <c r="K4" s="27" t="s">
        <v>12</v>
      </c>
      <c r="L4" s="27" t="s">
        <v>137</v>
      </c>
    </row>
    <row r="5" spans="2:13">
      <c r="B5" s="241">
        <v>1</v>
      </c>
      <c r="C5" s="265">
        <v>61.5</v>
      </c>
      <c r="D5" s="241" t="s">
        <v>139</v>
      </c>
      <c r="E5" s="99" t="s">
        <v>140</v>
      </c>
      <c r="F5" s="44">
        <v>3</v>
      </c>
      <c r="G5" s="44">
        <v>2</v>
      </c>
      <c r="H5" s="44"/>
      <c r="I5" s="44">
        <f>F5*G5+H5</f>
        <v>6</v>
      </c>
      <c r="J5" s="44"/>
      <c r="K5" s="44"/>
      <c r="L5" s="44"/>
      <c r="M5" s="232" t="s">
        <v>202</v>
      </c>
    </row>
    <row r="6" spans="2:13">
      <c r="B6" s="242"/>
      <c r="C6" s="266"/>
      <c r="D6" s="242"/>
      <c r="E6" s="45"/>
      <c r="F6" s="46"/>
      <c r="G6" s="46"/>
      <c r="H6" s="46"/>
      <c r="I6" s="46"/>
      <c r="J6" s="47"/>
      <c r="K6" s="47"/>
      <c r="L6" s="47"/>
      <c r="M6" s="232"/>
    </row>
    <row r="7" spans="2:13" ht="15" customHeight="1">
      <c r="B7" s="241">
        <v>2</v>
      </c>
      <c r="C7" s="245">
        <v>109</v>
      </c>
      <c r="D7" s="241" t="s">
        <v>139</v>
      </c>
      <c r="E7" s="99" t="s">
        <v>140</v>
      </c>
      <c r="F7" s="44">
        <v>5</v>
      </c>
      <c r="G7" s="44">
        <v>2.5</v>
      </c>
      <c r="H7" s="44"/>
      <c r="I7" s="44">
        <f>F7*G7+H7</f>
        <v>12.5</v>
      </c>
      <c r="J7" s="44"/>
      <c r="K7" s="44"/>
      <c r="L7" s="44"/>
      <c r="M7" s="232" t="s">
        <v>202</v>
      </c>
    </row>
    <row r="8" spans="2:13" ht="11.25" customHeight="1">
      <c r="B8" s="242"/>
      <c r="C8" s="246"/>
      <c r="D8" s="242"/>
      <c r="E8" s="45"/>
      <c r="F8" s="46"/>
      <c r="G8" s="46"/>
      <c r="H8" s="46"/>
      <c r="I8" s="46"/>
      <c r="J8" s="47"/>
      <c r="K8" s="47"/>
      <c r="L8" s="47"/>
      <c r="M8" s="232"/>
    </row>
    <row r="9" spans="2:13" ht="12" customHeight="1">
      <c r="B9" s="241">
        <v>3</v>
      </c>
      <c r="C9" s="245">
        <v>124</v>
      </c>
      <c r="D9" s="241" t="s">
        <v>139</v>
      </c>
      <c r="E9" s="99" t="s">
        <v>140</v>
      </c>
      <c r="F9" s="44">
        <v>5</v>
      </c>
      <c r="G9" s="44">
        <v>2.5</v>
      </c>
      <c r="H9" s="44"/>
      <c r="I9" s="44">
        <f>F9*G9+H9</f>
        <v>12.5</v>
      </c>
      <c r="J9" s="44"/>
      <c r="K9" s="44"/>
      <c r="L9" s="44"/>
      <c r="M9" s="232" t="s">
        <v>202</v>
      </c>
    </row>
    <row r="10" spans="2:13" ht="12" customHeight="1">
      <c r="B10" s="242"/>
      <c r="C10" s="246"/>
      <c r="D10" s="242"/>
      <c r="E10" s="45"/>
      <c r="F10" s="46"/>
      <c r="G10" s="46"/>
      <c r="H10" s="46"/>
      <c r="I10" s="46"/>
      <c r="J10" s="47"/>
      <c r="K10" s="47"/>
      <c r="L10" s="47"/>
      <c r="M10" s="232"/>
    </row>
    <row r="11" spans="2:13" ht="13.5" customHeight="1">
      <c r="B11" s="241">
        <v>4</v>
      </c>
      <c r="C11" s="245">
        <v>44.5</v>
      </c>
      <c r="D11" s="241" t="s">
        <v>139</v>
      </c>
      <c r="E11" s="99" t="s">
        <v>140</v>
      </c>
      <c r="F11" s="44">
        <v>5</v>
      </c>
      <c r="G11" s="44">
        <v>1.5</v>
      </c>
      <c r="H11" s="44"/>
      <c r="I11" s="44">
        <f>F11*G11+H11</f>
        <v>7.5</v>
      </c>
      <c r="J11" s="44"/>
      <c r="K11" s="44"/>
      <c r="L11" s="44"/>
      <c r="M11" s="232" t="s">
        <v>207</v>
      </c>
    </row>
    <row r="12" spans="2:13">
      <c r="B12" s="242"/>
      <c r="C12" s="246"/>
      <c r="D12" s="242"/>
      <c r="E12" s="45"/>
      <c r="F12" s="46"/>
      <c r="G12" s="46"/>
      <c r="H12" s="46"/>
      <c r="I12" s="46"/>
      <c r="J12" s="47"/>
      <c r="K12" s="47"/>
      <c r="L12" s="47"/>
      <c r="M12" s="232"/>
    </row>
    <row r="13" spans="2:13">
      <c r="B13" s="241">
        <v>5</v>
      </c>
      <c r="C13" s="245">
        <v>78.5</v>
      </c>
      <c r="D13" s="241" t="s">
        <v>139</v>
      </c>
      <c r="E13" s="99" t="s">
        <v>140</v>
      </c>
      <c r="F13" s="44">
        <v>5</v>
      </c>
      <c r="G13" s="44">
        <v>1.5</v>
      </c>
      <c r="H13" s="44"/>
      <c r="I13" s="44">
        <f>F13*G13+H13</f>
        <v>7.5</v>
      </c>
      <c r="J13" s="44"/>
      <c r="K13" s="44"/>
      <c r="L13" s="44"/>
      <c r="M13" s="232" t="s">
        <v>207</v>
      </c>
    </row>
    <row r="14" spans="2:13">
      <c r="B14" s="242"/>
      <c r="C14" s="246"/>
      <c r="D14" s="242"/>
      <c r="E14" s="45"/>
      <c r="F14" s="46"/>
      <c r="G14" s="46"/>
      <c r="H14" s="46"/>
      <c r="I14" s="46"/>
      <c r="J14" s="47"/>
      <c r="K14" s="47"/>
      <c r="L14" s="47"/>
      <c r="M14" s="232"/>
    </row>
    <row r="15" spans="2:13" ht="15" customHeight="1">
      <c r="B15" s="241">
        <v>6</v>
      </c>
      <c r="C15" s="245">
        <v>116</v>
      </c>
      <c r="D15" s="241" t="s">
        <v>139</v>
      </c>
      <c r="E15" s="99" t="s">
        <v>140</v>
      </c>
      <c r="F15" s="44">
        <v>5</v>
      </c>
      <c r="G15" s="44">
        <v>1.5</v>
      </c>
      <c r="H15" s="44"/>
      <c r="I15" s="44">
        <f>F15*G15+H15</f>
        <v>7.5</v>
      </c>
      <c r="J15" s="44"/>
      <c r="K15" s="44"/>
      <c r="L15" s="44"/>
      <c r="M15" s="232" t="s">
        <v>207</v>
      </c>
    </row>
    <row r="16" spans="2:13" ht="13.5" customHeight="1">
      <c r="B16" s="242"/>
      <c r="C16" s="246"/>
      <c r="D16" s="242"/>
      <c r="E16" s="45"/>
      <c r="F16" s="46"/>
      <c r="G16" s="46"/>
      <c r="H16" s="46"/>
      <c r="I16" s="46"/>
      <c r="J16" s="47"/>
      <c r="K16" s="47"/>
      <c r="L16" s="47"/>
      <c r="M16" s="232"/>
    </row>
    <row r="17" spans="2:13" ht="14.25" customHeight="1">
      <c r="B17" s="241">
        <v>7</v>
      </c>
      <c r="C17" s="245">
        <v>163</v>
      </c>
      <c r="D17" s="241" t="s">
        <v>139</v>
      </c>
      <c r="E17" s="99" t="s">
        <v>140</v>
      </c>
      <c r="F17" s="44">
        <v>5</v>
      </c>
      <c r="G17" s="44">
        <v>1.5</v>
      </c>
      <c r="H17" s="44"/>
      <c r="I17" s="44">
        <f>F17*G17+H17</f>
        <v>7.5</v>
      </c>
      <c r="J17" s="44"/>
      <c r="K17" s="44"/>
      <c r="L17" s="44"/>
      <c r="M17" s="232" t="s">
        <v>207</v>
      </c>
    </row>
    <row r="18" spans="2:13" ht="13.5" customHeight="1">
      <c r="B18" s="242"/>
      <c r="C18" s="246"/>
      <c r="D18" s="242"/>
      <c r="E18" s="45"/>
      <c r="F18" s="46"/>
      <c r="G18" s="46"/>
      <c r="H18" s="46"/>
      <c r="I18" s="46"/>
      <c r="J18" s="47"/>
      <c r="K18" s="47"/>
      <c r="L18" s="47"/>
      <c r="M18" s="232"/>
    </row>
    <row r="19" spans="2:13" ht="15" customHeight="1">
      <c r="B19" s="241">
        <v>8</v>
      </c>
      <c r="C19" s="245">
        <v>179.5</v>
      </c>
      <c r="D19" s="241" t="s">
        <v>139</v>
      </c>
      <c r="E19" s="99" t="s">
        <v>140</v>
      </c>
      <c r="F19" s="44">
        <v>5</v>
      </c>
      <c r="G19" s="44">
        <v>1.5</v>
      </c>
      <c r="H19" s="44"/>
      <c r="I19" s="44">
        <f>F19*G19+H19</f>
        <v>7.5</v>
      </c>
      <c r="J19" s="44"/>
      <c r="K19" s="44"/>
      <c r="L19" s="44"/>
      <c r="M19" s="232" t="s">
        <v>207</v>
      </c>
    </row>
    <row r="20" spans="2:13" ht="15" customHeight="1">
      <c r="B20" s="242"/>
      <c r="C20" s="246"/>
      <c r="D20" s="242"/>
      <c r="E20" s="45"/>
      <c r="F20" s="46"/>
      <c r="G20" s="46"/>
      <c r="H20" s="46"/>
      <c r="I20" s="46"/>
      <c r="J20" s="47"/>
      <c r="K20" s="47"/>
      <c r="L20" s="47"/>
      <c r="M20" s="232"/>
    </row>
    <row r="21" spans="2:13" ht="15" customHeight="1">
      <c r="B21" s="241">
        <v>9</v>
      </c>
      <c r="C21" s="245">
        <v>199.5</v>
      </c>
      <c r="D21" s="241" t="s">
        <v>139</v>
      </c>
      <c r="E21" s="99" t="s">
        <v>140</v>
      </c>
      <c r="F21" s="44">
        <v>5</v>
      </c>
      <c r="G21" s="44">
        <v>2</v>
      </c>
      <c r="H21" s="44"/>
      <c r="I21" s="44">
        <f>F21*G21+H21</f>
        <v>10</v>
      </c>
      <c r="J21" s="44"/>
      <c r="K21" s="44"/>
      <c r="L21" s="44"/>
      <c r="M21" s="232" t="s">
        <v>207</v>
      </c>
    </row>
    <row r="22" spans="2:13" ht="15" customHeight="1">
      <c r="B22" s="242"/>
      <c r="C22" s="246"/>
      <c r="D22" s="242"/>
      <c r="E22" s="45"/>
      <c r="F22" s="46"/>
      <c r="G22" s="46"/>
      <c r="H22" s="46"/>
      <c r="I22" s="46"/>
      <c r="J22" s="47"/>
      <c r="K22" s="47"/>
      <c r="L22" s="47"/>
      <c r="M22" s="232"/>
    </row>
    <row r="23" spans="2:13">
      <c r="B23" s="241">
        <v>10</v>
      </c>
      <c r="C23" s="245">
        <v>256.5</v>
      </c>
      <c r="D23" s="241" t="s">
        <v>139</v>
      </c>
      <c r="E23" s="99" t="s">
        <v>140</v>
      </c>
      <c r="F23" s="44">
        <v>5</v>
      </c>
      <c r="G23" s="44">
        <v>3</v>
      </c>
      <c r="H23" s="44"/>
      <c r="I23" s="44">
        <f>F23*G23+H23</f>
        <v>15</v>
      </c>
      <c r="J23" s="44"/>
      <c r="K23" s="44"/>
      <c r="L23" s="44"/>
      <c r="M23" s="232" t="s">
        <v>207</v>
      </c>
    </row>
    <row r="24" spans="2:13">
      <c r="B24" s="242"/>
      <c r="C24" s="246"/>
      <c r="D24" s="242"/>
      <c r="E24" s="45"/>
      <c r="F24" s="46"/>
      <c r="G24" s="46"/>
      <c r="H24" s="46"/>
      <c r="I24" s="46"/>
      <c r="J24" s="47"/>
      <c r="K24" s="47"/>
      <c r="L24" s="47"/>
      <c r="M24" s="232"/>
    </row>
    <row r="25" spans="2:13">
      <c r="B25" s="241">
        <v>11</v>
      </c>
      <c r="C25" s="245">
        <v>273</v>
      </c>
      <c r="D25" s="241" t="s">
        <v>139</v>
      </c>
      <c r="E25" s="43" t="s">
        <v>140</v>
      </c>
      <c r="F25" s="44">
        <v>5</v>
      </c>
      <c r="G25" s="44">
        <v>2.2999999999999998</v>
      </c>
      <c r="H25" s="44"/>
      <c r="I25" s="44">
        <f>F25*G25+H25</f>
        <v>11.5</v>
      </c>
      <c r="J25" s="44"/>
      <c r="K25" s="44"/>
      <c r="L25" s="44"/>
      <c r="M25" s="232" t="s">
        <v>207</v>
      </c>
    </row>
    <row r="26" spans="2:13">
      <c r="B26" s="242"/>
      <c r="C26" s="246"/>
      <c r="D26" s="242"/>
      <c r="E26" s="45"/>
      <c r="F26" s="46"/>
      <c r="G26" s="46"/>
      <c r="H26" s="46"/>
      <c r="I26" s="46"/>
      <c r="J26" s="47"/>
      <c r="K26" s="47"/>
      <c r="L26" s="47"/>
      <c r="M26" s="232"/>
    </row>
    <row r="27" spans="2:13">
      <c r="B27" s="241">
        <v>12</v>
      </c>
      <c r="C27" s="245">
        <v>297.5</v>
      </c>
      <c r="D27" s="241" t="s">
        <v>139</v>
      </c>
      <c r="E27" s="128" t="s">
        <v>140</v>
      </c>
      <c r="F27" s="263">
        <v>5</v>
      </c>
      <c r="G27" s="263">
        <v>2.7</v>
      </c>
      <c r="H27" s="44"/>
      <c r="I27" s="44">
        <f>F27*G27+H27</f>
        <v>13.5</v>
      </c>
      <c r="J27" s="44"/>
      <c r="K27" s="44"/>
      <c r="L27" s="44"/>
      <c r="M27" s="232" t="s">
        <v>207</v>
      </c>
    </row>
    <row r="28" spans="2:13">
      <c r="B28" s="242"/>
      <c r="C28" s="246"/>
      <c r="D28" s="242"/>
      <c r="E28" s="49"/>
      <c r="F28" s="264"/>
      <c r="G28" s="264"/>
      <c r="H28" s="46"/>
      <c r="I28" s="46"/>
      <c r="J28" s="47"/>
      <c r="K28" s="47"/>
      <c r="L28" s="47"/>
      <c r="M28" s="232"/>
    </row>
    <row r="29" spans="2:13">
      <c r="B29" s="241">
        <v>12</v>
      </c>
      <c r="C29" s="245">
        <v>334</v>
      </c>
      <c r="D29" s="241" t="s">
        <v>139</v>
      </c>
      <c r="E29" s="43" t="s">
        <v>140</v>
      </c>
      <c r="F29" s="263">
        <v>5</v>
      </c>
      <c r="G29" s="263">
        <v>2</v>
      </c>
      <c r="H29" s="44"/>
      <c r="I29" s="44">
        <f>F29*G29+H29</f>
        <v>10</v>
      </c>
      <c r="J29" s="44"/>
      <c r="K29" s="44"/>
      <c r="L29" s="44"/>
      <c r="M29" s="232" t="s">
        <v>207</v>
      </c>
    </row>
    <row r="30" spans="2:13">
      <c r="B30" s="242"/>
      <c r="C30" s="246"/>
      <c r="D30" s="242"/>
      <c r="E30" s="49"/>
      <c r="F30" s="264"/>
      <c r="G30" s="264"/>
      <c r="H30" s="46"/>
      <c r="I30" s="46"/>
      <c r="J30" s="47"/>
      <c r="K30" s="47"/>
      <c r="L30" s="47"/>
      <c r="M30" s="232"/>
    </row>
    <row r="31" spans="2:13">
      <c r="B31" s="241">
        <v>13</v>
      </c>
      <c r="C31" s="245">
        <v>363</v>
      </c>
      <c r="D31" s="241" t="s">
        <v>139</v>
      </c>
      <c r="E31" s="43" t="s">
        <v>140</v>
      </c>
      <c r="F31" s="44">
        <v>5</v>
      </c>
      <c r="G31" s="44">
        <v>4.0999999999999996</v>
      </c>
      <c r="H31" s="44"/>
      <c r="I31" s="44">
        <f>F31*G31+H31</f>
        <v>20.5</v>
      </c>
      <c r="J31" s="44"/>
      <c r="K31" s="44"/>
      <c r="L31" s="44"/>
      <c r="M31" s="232" t="s">
        <v>207</v>
      </c>
    </row>
    <row r="32" spans="2:13">
      <c r="B32" s="242"/>
      <c r="C32" s="246"/>
      <c r="D32" s="242"/>
      <c r="E32" s="45"/>
      <c r="F32" s="46"/>
      <c r="G32" s="46"/>
      <c r="H32" s="46"/>
      <c r="I32" s="46"/>
      <c r="J32" s="47"/>
      <c r="K32" s="47"/>
      <c r="L32" s="47"/>
      <c r="M32" s="232"/>
    </row>
    <row r="33" spans="2:13">
      <c r="B33" s="241">
        <v>14</v>
      </c>
      <c r="C33" s="245">
        <v>376</v>
      </c>
      <c r="D33" s="241" t="s">
        <v>139</v>
      </c>
      <c r="E33" s="43" t="s">
        <v>140</v>
      </c>
      <c r="F33" s="44">
        <v>5</v>
      </c>
      <c r="G33" s="44">
        <v>3.9</v>
      </c>
      <c r="H33" s="44"/>
      <c r="I33" s="44">
        <f>F33*G33+H33</f>
        <v>19.5</v>
      </c>
      <c r="J33" s="44"/>
      <c r="K33" s="44"/>
      <c r="L33" s="44"/>
      <c r="M33" s="232" t="s">
        <v>207</v>
      </c>
    </row>
    <row r="34" spans="2:13">
      <c r="B34" s="242"/>
      <c r="C34" s="246"/>
      <c r="D34" s="242"/>
      <c r="E34" s="45"/>
      <c r="F34" s="46"/>
      <c r="G34" s="46"/>
      <c r="H34" s="46"/>
      <c r="I34" s="46"/>
      <c r="J34" s="47"/>
      <c r="K34" s="47"/>
      <c r="L34" s="47"/>
      <c r="M34" s="232"/>
    </row>
    <row r="35" spans="2:13">
      <c r="B35" s="241">
        <v>15</v>
      </c>
      <c r="C35" s="245">
        <v>10</v>
      </c>
      <c r="D35" s="241" t="s">
        <v>139</v>
      </c>
      <c r="E35" s="43" t="s">
        <v>140</v>
      </c>
      <c r="F35" s="44">
        <v>6</v>
      </c>
      <c r="G35" s="44">
        <v>5</v>
      </c>
      <c r="H35" s="44"/>
      <c r="I35" s="44">
        <f>F35*G35</f>
        <v>30</v>
      </c>
      <c r="J35" s="44"/>
      <c r="K35" s="44"/>
      <c r="L35" s="44"/>
      <c r="M35" s="232" t="s">
        <v>204</v>
      </c>
    </row>
    <row r="36" spans="2:13">
      <c r="B36" s="242"/>
      <c r="C36" s="246"/>
      <c r="D36" s="242"/>
      <c r="E36" s="45"/>
      <c r="F36" s="46"/>
      <c r="G36" s="46"/>
      <c r="H36" s="46"/>
      <c r="I36" s="47"/>
      <c r="J36" s="47"/>
      <c r="K36" s="47"/>
      <c r="L36" s="47"/>
      <c r="M36" s="232"/>
    </row>
    <row r="37" spans="2:13">
      <c r="B37" s="241">
        <v>16</v>
      </c>
      <c r="C37" s="245">
        <v>72</v>
      </c>
      <c r="D37" s="241" t="s">
        <v>139</v>
      </c>
      <c r="E37" s="43" t="s">
        <v>140</v>
      </c>
      <c r="F37" s="44">
        <v>17</v>
      </c>
      <c r="G37" s="44">
        <v>5.5</v>
      </c>
      <c r="H37" s="44"/>
      <c r="I37" s="44">
        <f>F37*G37</f>
        <v>93.5</v>
      </c>
      <c r="J37" s="44"/>
      <c r="K37" s="44"/>
      <c r="L37" s="44"/>
      <c r="M37" s="232" t="s">
        <v>204</v>
      </c>
    </row>
    <row r="38" spans="2:13">
      <c r="B38" s="242"/>
      <c r="C38" s="246"/>
      <c r="D38" s="242"/>
      <c r="E38" s="48"/>
      <c r="F38" s="47"/>
      <c r="G38" s="47"/>
      <c r="H38" s="47"/>
      <c r="I38" s="47"/>
      <c r="J38" s="47"/>
      <c r="K38" s="47"/>
      <c r="L38" s="47"/>
      <c r="M38" s="232"/>
    </row>
    <row r="39" spans="2:13" ht="12.75" customHeight="1">
      <c r="B39" s="241">
        <v>17</v>
      </c>
      <c r="C39" s="245">
        <v>105.5</v>
      </c>
      <c r="D39" s="241" t="s">
        <v>139</v>
      </c>
      <c r="E39" s="43" t="s">
        <v>140</v>
      </c>
      <c r="F39" s="44">
        <v>5</v>
      </c>
      <c r="G39" s="44">
        <v>2</v>
      </c>
      <c r="H39" s="44"/>
      <c r="I39" s="44">
        <f>F39*G39</f>
        <v>10</v>
      </c>
      <c r="J39" s="44"/>
      <c r="K39" s="44"/>
      <c r="L39" s="44"/>
      <c r="M39" s="232" t="s">
        <v>204</v>
      </c>
    </row>
    <row r="40" spans="2:13" ht="12.75" customHeight="1">
      <c r="B40" s="242"/>
      <c r="C40" s="246"/>
      <c r="D40" s="242"/>
      <c r="E40" s="48"/>
      <c r="F40" s="47"/>
      <c r="G40" s="47"/>
      <c r="H40" s="47"/>
      <c r="I40" s="47"/>
      <c r="J40" s="47"/>
      <c r="K40" s="47"/>
      <c r="L40" s="47"/>
      <c r="M40" s="232"/>
    </row>
    <row r="41" spans="2:13">
      <c r="B41" s="241">
        <v>18</v>
      </c>
      <c r="C41" s="245">
        <v>125</v>
      </c>
      <c r="D41" s="241" t="s">
        <v>139</v>
      </c>
      <c r="E41" s="103" t="s">
        <v>140</v>
      </c>
      <c r="F41" s="44">
        <v>6</v>
      </c>
      <c r="G41" s="44">
        <v>2</v>
      </c>
      <c r="H41" s="44"/>
      <c r="I41" s="44">
        <f>F41*G41</f>
        <v>12</v>
      </c>
      <c r="J41" s="44"/>
      <c r="K41" s="44"/>
      <c r="L41" s="44"/>
      <c r="M41" s="232" t="s">
        <v>204</v>
      </c>
    </row>
    <row r="42" spans="2:13">
      <c r="B42" s="242"/>
      <c r="C42" s="246"/>
      <c r="D42" s="242"/>
      <c r="E42" s="104"/>
      <c r="F42" s="47"/>
      <c r="G42" s="47"/>
      <c r="H42" s="47"/>
      <c r="I42" s="47"/>
      <c r="J42" s="47"/>
      <c r="K42" s="47"/>
      <c r="L42" s="47"/>
      <c r="M42" s="232"/>
    </row>
    <row r="43" spans="2:13">
      <c r="B43" s="241">
        <v>19</v>
      </c>
      <c r="C43" s="245">
        <v>145</v>
      </c>
      <c r="D43" s="241" t="s">
        <v>139</v>
      </c>
      <c r="E43" s="103" t="s">
        <v>140</v>
      </c>
      <c r="F43" s="44">
        <v>6</v>
      </c>
      <c r="G43" s="44">
        <v>2</v>
      </c>
      <c r="H43" s="44"/>
      <c r="I43" s="44">
        <f>F43*G43</f>
        <v>12</v>
      </c>
      <c r="J43" s="44"/>
      <c r="K43" s="44"/>
      <c r="L43" s="44"/>
      <c r="M43" s="232" t="s">
        <v>204</v>
      </c>
    </row>
    <row r="44" spans="2:13">
      <c r="B44" s="242"/>
      <c r="C44" s="246"/>
      <c r="D44" s="242"/>
      <c r="E44" s="104"/>
      <c r="F44" s="47"/>
      <c r="G44" s="47"/>
      <c r="H44" s="47"/>
      <c r="I44" s="47"/>
      <c r="J44" s="47"/>
      <c r="K44" s="47"/>
      <c r="L44" s="47"/>
      <c r="M44" s="232"/>
    </row>
    <row r="45" spans="2:13">
      <c r="B45" s="241">
        <v>20</v>
      </c>
      <c r="C45" s="245">
        <v>160</v>
      </c>
      <c r="D45" s="241" t="s">
        <v>139</v>
      </c>
      <c r="E45" s="103" t="s">
        <v>140</v>
      </c>
      <c r="F45" s="44">
        <v>6</v>
      </c>
      <c r="G45" s="44">
        <v>2</v>
      </c>
      <c r="H45" s="44"/>
      <c r="I45" s="44">
        <f>F45*G45</f>
        <v>12</v>
      </c>
      <c r="J45" s="44"/>
      <c r="K45" s="44"/>
      <c r="L45" s="44"/>
      <c r="M45" s="232" t="s">
        <v>204</v>
      </c>
    </row>
    <row r="46" spans="2:13">
      <c r="B46" s="242"/>
      <c r="C46" s="246"/>
      <c r="D46" s="242"/>
      <c r="E46" s="104"/>
      <c r="F46" s="47"/>
      <c r="G46" s="47"/>
      <c r="H46" s="47"/>
      <c r="I46" s="47"/>
      <c r="J46" s="47"/>
      <c r="K46" s="47"/>
      <c r="L46" s="47"/>
      <c r="M46" s="232"/>
    </row>
    <row r="47" spans="2:13">
      <c r="B47" s="241">
        <v>21</v>
      </c>
      <c r="C47" s="243">
        <v>170</v>
      </c>
      <c r="D47" s="241" t="s">
        <v>139</v>
      </c>
      <c r="E47" s="129" t="s">
        <v>140</v>
      </c>
      <c r="F47" s="44">
        <v>4.5</v>
      </c>
      <c r="G47" s="44">
        <v>2</v>
      </c>
      <c r="H47" s="44"/>
      <c r="I47" s="44">
        <f>F47*G47+H47</f>
        <v>9</v>
      </c>
      <c r="J47" s="44"/>
      <c r="K47" s="44"/>
      <c r="L47" s="44"/>
      <c r="M47" s="232" t="s">
        <v>204</v>
      </c>
    </row>
    <row r="48" spans="2:13">
      <c r="B48" s="242"/>
      <c r="C48" s="244"/>
      <c r="D48" s="242"/>
      <c r="E48" s="48"/>
      <c r="F48" s="47"/>
      <c r="G48" s="47"/>
      <c r="H48" s="47"/>
      <c r="I48" s="47"/>
      <c r="J48" s="47"/>
      <c r="K48" s="47"/>
      <c r="L48" s="47"/>
      <c r="M48" s="232"/>
    </row>
    <row r="49" spans="2:12">
      <c r="B49" s="35"/>
      <c r="C49" s="267" t="s">
        <v>141</v>
      </c>
      <c r="D49" s="268"/>
      <c r="E49" s="33" t="s">
        <v>138</v>
      </c>
      <c r="F49" s="34"/>
      <c r="G49" s="34"/>
      <c r="H49" s="34"/>
      <c r="I49" s="34"/>
      <c r="J49" s="34"/>
      <c r="K49" s="34"/>
      <c r="L49" s="34"/>
    </row>
    <row r="50" spans="2:12" ht="13.5" thickBot="1">
      <c r="B50" s="32"/>
      <c r="C50" s="255" t="s">
        <v>141</v>
      </c>
      <c r="D50" s="257"/>
      <c r="E50" s="30" t="s">
        <v>140</v>
      </c>
      <c r="F50" s="31">
        <v>5</v>
      </c>
      <c r="G50" s="31">
        <v>6</v>
      </c>
      <c r="H50" s="31"/>
      <c r="I50" s="31">
        <f>F50*G50</f>
        <v>30</v>
      </c>
      <c r="J50" s="31">
        <v>11</v>
      </c>
      <c r="K50" s="31"/>
      <c r="L50" s="28">
        <v>4</v>
      </c>
    </row>
    <row r="51" spans="2:12" ht="14.25" thickTop="1" thickBot="1">
      <c r="B51" s="260" t="s">
        <v>142</v>
      </c>
      <c r="C51" s="261"/>
      <c r="D51" s="261"/>
      <c r="E51" s="262"/>
      <c r="F51" s="40"/>
      <c r="G51" s="40"/>
      <c r="H51" s="40"/>
      <c r="I51" s="109">
        <f>SUM(I5:I50)</f>
        <v>377</v>
      </c>
      <c r="J51" s="109">
        <f>SUM(J5:J50)</f>
        <v>11</v>
      </c>
      <c r="K51" s="40"/>
      <c r="L51" s="109">
        <f>SUM(L5:L50)</f>
        <v>4</v>
      </c>
    </row>
    <row r="52" spans="2:12" ht="13.5" thickTop="1">
      <c r="B52" s="30"/>
      <c r="C52" s="30"/>
      <c r="D52" s="252" t="s">
        <v>143</v>
      </c>
      <c r="E52" s="253"/>
      <c r="F52" s="253"/>
      <c r="G52" s="253"/>
      <c r="H52" s="254"/>
      <c r="I52" s="31"/>
      <c r="J52" s="28"/>
      <c r="K52" s="28"/>
      <c r="L52" s="30"/>
    </row>
    <row r="53" spans="2:12">
      <c r="B53" s="30"/>
      <c r="C53" s="30"/>
      <c r="D53" s="252" t="s">
        <v>144</v>
      </c>
      <c r="E53" s="253"/>
      <c r="F53" s="253"/>
      <c r="G53" s="253"/>
      <c r="H53" s="254"/>
      <c r="I53" s="31"/>
      <c r="J53" s="28"/>
      <c r="K53" s="28"/>
      <c r="L53" s="30"/>
    </row>
    <row r="54" spans="2:12" ht="15.75" customHeight="1">
      <c r="B54" s="30"/>
      <c r="C54" s="30"/>
      <c r="D54" s="255" t="s">
        <v>145</v>
      </c>
      <c r="E54" s="256"/>
      <c r="F54" s="256"/>
      <c r="G54" s="256"/>
      <c r="H54" s="257"/>
      <c r="I54" s="31"/>
      <c r="J54" s="28"/>
      <c r="K54" s="28"/>
      <c r="L54" s="30"/>
    </row>
    <row r="55" spans="2:12">
      <c r="F55" s="41"/>
      <c r="G55" s="41"/>
      <c r="H55" s="41"/>
      <c r="I55" s="41"/>
      <c r="J55" s="41"/>
      <c r="K55" s="41"/>
      <c r="L55" s="41"/>
    </row>
    <row r="56" spans="2:12">
      <c r="B56"/>
      <c r="C56"/>
      <c r="D56"/>
      <c r="E56"/>
      <c r="F56"/>
      <c r="G56"/>
      <c r="H56"/>
      <c r="I56"/>
      <c r="J56"/>
      <c r="K56"/>
      <c r="L56"/>
    </row>
  </sheetData>
  <sheetProtection password="CAC3" sheet="1" objects="1" scenarios="1"/>
  <mergeCells count="81">
    <mergeCell ref="D52:H52"/>
    <mergeCell ref="C49:D49"/>
    <mergeCell ref="D53:H53"/>
    <mergeCell ref="D54:H54"/>
    <mergeCell ref="C50:D50"/>
    <mergeCell ref="B51:E51"/>
    <mergeCell ref="B47:B48"/>
    <mergeCell ref="C47:C48"/>
    <mergeCell ref="D47:D48"/>
    <mergeCell ref="B37:B38"/>
    <mergeCell ref="C37:C38"/>
    <mergeCell ref="D37:D38"/>
    <mergeCell ref="B43:B44"/>
    <mergeCell ref="C43:C44"/>
    <mergeCell ref="D43:D44"/>
    <mergeCell ref="F27:F28"/>
    <mergeCell ref="G27:G28"/>
    <mergeCell ref="D45:D46"/>
    <mergeCell ref="B45:B46"/>
    <mergeCell ref="C45:C46"/>
    <mergeCell ref="B35:B36"/>
    <mergeCell ref="C35:C36"/>
    <mergeCell ref="C15:C16"/>
    <mergeCell ref="D17:D18"/>
    <mergeCell ref="B23:B24"/>
    <mergeCell ref="C23:C24"/>
    <mergeCell ref="D23:D24"/>
    <mergeCell ref="B5:B6"/>
    <mergeCell ref="C5:C6"/>
    <mergeCell ref="D5:D6"/>
    <mergeCell ref="B25:B26"/>
    <mergeCell ref="C25:C26"/>
    <mergeCell ref="D25:D26"/>
    <mergeCell ref="B21:B22"/>
    <mergeCell ref="C21:C22"/>
    <mergeCell ref="D21:D22"/>
    <mergeCell ref="B19:B20"/>
    <mergeCell ref="C19:C20"/>
    <mergeCell ref="D19:D20"/>
    <mergeCell ref="B17:B18"/>
    <mergeCell ref="C17:C18"/>
    <mergeCell ref="D15:D16"/>
    <mergeCell ref="B15:B16"/>
    <mergeCell ref="B1:L1"/>
    <mergeCell ref="B3:B4"/>
    <mergeCell ref="C3:C4"/>
    <mergeCell ref="D3:D4"/>
    <mergeCell ref="E3:E4"/>
    <mergeCell ref="B13:B14"/>
    <mergeCell ref="C13:C14"/>
    <mergeCell ref="D13:D14"/>
    <mergeCell ref="B11:B12"/>
    <mergeCell ref="C11:C12"/>
    <mergeCell ref="D11:D12"/>
    <mergeCell ref="B7:B8"/>
    <mergeCell ref="C7:C8"/>
    <mergeCell ref="D7:D8"/>
    <mergeCell ref="B9:B10"/>
    <mergeCell ref="C9:C10"/>
    <mergeCell ref="D9:D10"/>
    <mergeCell ref="G29:G30"/>
    <mergeCell ref="B29:B30"/>
    <mergeCell ref="C29:C30"/>
    <mergeCell ref="D29:D30"/>
    <mergeCell ref="F29:F30"/>
    <mergeCell ref="B27:B28"/>
    <mergeCell ref="B41:B42"/>
    <mergeCell ref="C41:C42"/>
    <mergeCell ref="D41:D42"/>
    <mergeCell ref="B39:B40"/>
    <mergeCell ref="C39:C40"/>
    <mergeCell ref="D39:D40"/>
    <mergeCell ref="D35:D36"/>
    <mergeCell ref="B33:B34"/>
    <mergeCell ref="C33:C34"/>
    <mergeCell ref="D33:D34"/>
    <mergeCell ref="B31:B32"/>
    <mergeCell ref="C31:C32"/>
    <mergeCell ref="D31:D32"/>
    <mergeCell ref="C27:C28"/>
    <mergeCell ref="D27:D28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Normal="100" workbookViewId="0">
      <selection activeCell="M27" sqref="M27"/>
    </sheetView>
  </sheetViews>
  <sheetFormatPr defaultRowHeight="12.75"/>
  <cols>
    <col min="3" max="3" width="8.5703125" customWidth="1"/>
    <col min="5" max="5" width="5" customWidth="1"/>
    <col min="6" max="6" width="9" customWidth="1"/>
    <col min="7" max="7" width="8.85546875" customWidth="1"/>
    <col min="8" max="8" width="8" customWidth="1"/>
    <col min="9" max="9" width="7.85546875" customWidth="1"/>
    <col min="10" max="10" width="8" customWidth="1"/>
    <col min="11" max="11" width="7" customWidth="1"/>
    <col min="13" max="13" width="11.85546875" customWidth="1"/>
  </cols>
  <sheetData>
    <row r="1" spans="1:13" ht="15">
      <c r="A1" s="273" t="s">
        <v>149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5"/>
    </row>
    <row r="2" spans="1:13" ht="10.5" customHeight="1">
      <c r="A2" s="1"/>
      <c r="B2" s="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69" customHeight="1">
      <c r="A3" s="51"/>
      <c r="B3" s="51"/>
      <c r="C3" s="274" t="s">
        <v>208</v>
      </c>
      <c r="D3" s="274"/>
      <c r="E3" s="274"/>
      <c r="F3" s="274"/>
      <c r="G3" s="274"/>
      <c r="H3" s="105" t="s">
        <v>210</v>
      </c>
      <c r="I3" s="53" t="s">
        <v>150</v>
      </c>
      <c r="J3" s="53" t="s">
        <v>151</v>
      </c>
      <c r="K3" s="53" t="s">
        <v>152</v>
      </c>
      <c r="L3" s="53" t="s">
        <v>153</v>
      </c>
      <c r="M3" s="54"/>
    </row>
    <row r="4" spans="1:13" ht="38.25">
      <c r="A4" s="275" t="s">
        <v>154</v>
      </c>
      <c r="B4" s="275"/>
      <c r="C4" s="55" t="s">
        <v>155</v>
      </c>
      <c r="D4" s="55" t="s">
        <v>156</v>
      </c>
      <c r="E4" s="51" t="s">
        <v>157</v>
      </c>
      <c r="F4" s="55" t="s">
        <v>158</v>
      </c>
      <c r="G4" s="55" t="s">
        <v>159</v>
      </c>
      <c r="H4" s="51"/>
      <c r="I4" s="51"/>
      <c r="J4" s="56" t="s">
        <v>160</v>
      </c>
      <c r="K4" s="56" t="s">
        <v>161</v>
      </c>
      <c r="L4" s="51"/>
      <c r="M4" s="57"/>
    </row>
    <row r="5" spans="1:13" ht="14.25">
      <c r="A5" s="55" t="s">
        <v>162</v>
      </c>
      <c r="B5" s="55" t="s">
        <v>162</v>
      </c>
      <c r="C5" s="58" t="s">
        <v>12</v>
      </c>
      <c r="D5" s="58" t="s">
        <v>12</v>
      </c>
      <c r="E5" s="58" t="s">
        <v>12</v>
      </c>
      <c r="F5" s="58" t="s">
        <v>12</v>
      </c>
      <c r="G5" s="58" t="s">
        <v>163</v>
      </c>
      <c r="H5" s="58" t="s">
        <v>12</v>
      </c>
      <c r="I5" s="58" t="s">
        <v>12</v>
      </c>
      <c r="J5" s="58" t="s">
        <v>164</v>
      </c>
      <c r="K5" s="58" t="s">
        <v>164</v>
      </c>
      <c r="L5" s="58" t="s">
        <v>12</v>
      </c>
      <c r="M5" s="59"/>
    </row>
    <row r="6" spans="1:13" ht="16.5" customHeight="1">
      <c r="A6" s="271">
        <v>93</v>
      </c>
      <c r="B6" s="271">
        <v>103</v>
      </c>
      <c r="C6" s="271">
        <f>B6-A6</f>
        <v>10</v>
      </c>
      <c r="D6" s="271">
        <f>C6</f>
        <v>10</v>
      </c>
      <c r="E6" s="60">
        <v>1.5</v>
      </c>
      <c r="F6" s="269">
        <f>(E6+E7)/2</f>
        <v>1.5</v>
      </c>
      <c r="G6" s="269">
        <f>D6*F6</f>
        <v>15</v>
      </c>
      <c r="H6" s="271">
        <v>10</v>
      </c>
      <c r="I6" s="271"/>
      <c r="J6" s="271">
        <f>H6*0.06</f>
        <v>0.6</v>
      </c>
      <c r="K6" s="271">
        <f>0.083*I6</f>
        <v>0</v>
      </c>
      <c r="L6" s="271">
        <v>15</v>
      </c>
      <c r="M6" s="233" t="s">
        <v>202</v>
      </c>
    </row>
    <row r="7" spans="1:13">
      <c r="A7" s="272"/>
      <c r="B7" s="272"/>
      <c r="C7" s="272"/>
      <c r="D7" s="272"/>
      <c r="E7" s="60">
        <v>1.5</v>
      </c>
      <c r="F7" s="270"/>
      <c r="G7" s="270"/>
      <c r="H7" s="272"/>
      <c r="I7" s="272"/>
      <c r="J7" s="272"/>
      <c r="K7" s="272"/>
      <c r="L7" s="272"/>
      <c r="M7" s="233"/>
    </row>
    <row r="8" spans="1:13">
      <c r="A8" s="271">
        <v>113</v>
      </c>
      <c r="B8" s="271">
        <v>163</v>
      </c>
      <c r="C8" s="271">
        <f>B8-A8</f>
        <v>50</v>
      </c>
      <c r="D8" s="271">
        <f>C8</f>
        <v>50</v>
      </c>
      <c r="E8" s="60">
        <v>0</v>
      </c>
      <c r="F8" s="269">
        <f>(E8+E9)/2</f>
        <v>0</v>
      </c>
      <c r="G8" s="269">
        <f>D8*F8</f>
        <v>0</v>
      </c>
      <c r="H8" s="271">
        <v>51</v>
      </c>
      <c r="I8" s="271"/>
      <c r="J8" s="271">
        <f>H8*0.06</f>
        <v>3.1</v>
      </c>
      <c r="K8" s="271">
        <f>0.083*I8</f>
        <v>0</v>
      </c>
      <c r="L8" s="271">
        <v>0</v>
      </c>
      <c r="M8" s="233" t="s">
        <v>202</v>
      </c>
    </row>
    <row r="9" spans="1:13">
      <c r="A9" s="272"/>
      <c r="B9" s="272"/>
      <c r="C9" s="272"/>
      <c r="D9" s="272"/>
      <c r="E9" s="60">
        <v>0</v>
      </c>
      <c r="F9" s="270"/>
      <c r="G9" s="270"/>
      <c r="H9" s="272"/>
      <c r="I9" s="272"/>
      <c r="J9" s="272"/>
      <c r="K9" s="272"/>
      <c r="L9" s="272"/>
      <c r="M9" s="233"/>
    </row>
    <row r="10" spans="1:13">
      <c r="A10" s="271">
        <v>170</v>
      </c>
      <c r="B10" s="271">
        <v>198</v>
      </c>
      <c r="C10" s="271">
        <f>B10-A10</f>
        <v>28</v>
      </c>
      <c r="D10" s="271">
        <v>10</v>
      </c>
      <c r="E10" s="60">
        <v>1.5</v>
      </c>
      <c r="F10" s="269">
        <f>(E10+E11)/2</f>
        <v>1.5</v>
      </c>
      <c r="G10" s="269">
        <f>D10*F10</f>
        <v>15</v>
      </c>
      <c r="H10" s="271">
        <v>28</v>
      </c>
      <c r="I10" s="271"/>
      <c r="J10" s="271">
        <f>H10*0.06</f>
        <v>1.7</v>
      </c>
      <c r="K10" s="271">
        <f>0.083*I10</f>
        <v>0</v>
      </c>
      <c r="L10" s="271">
        <v>15</v>
      </c>
      <c r="M10" s="233" t="s">
        <v>202</v>
      </c>
    </row>
    <row r="11" spans="1:13">
      <c r="A11" s="272"/>
      <c r="B11" s="272"/>
      <c r="C11" s="272"/>
      <c r="D11" s="272"/>
      <c r="E11" s="60">
        <v>1.5</v>
      </c>
      <c r="F11" s="270"/>
      <c r="G11" s="270"/>
      <c r="H11" s="272"/>
      <c r="I11" s="272"/>
      <c r="J11" s="272"/>
      <c r="K11" s="272"/>
      <c r="L11" s="272"/>
      <c r="M11" s="233"/>
    </row>
    <row r="12" spans="1:13">
      <c r="A12" s="271">
        <v>0</v>
      </c>
      <c r="B12" s="271">
        <v>85</v>
      </c>
      <c r="C12" s="271">
        <f>B12-A12</f>
        <v>85</v>
      </c>
      <c r="D12" s="271">
        <f>C12</f>
        <v>85</v>
      </c>
      <c r="E12" s="60">
        <v>1.5</v>
      </c>
      <c r="F12" s="269">
        <f>(E12+E13)/2</f>
        <v>1.5</v>
      </c>
      <c r="G12" s="269">
        <f>D12*F12</f>
        <v>127.5</v>
      </c>
      <c r="H12" s="271">
        <v>85</v>
      </c>
      <c r="I12" s="271"/>
      <c r="J12" s="271">
        <f>H12*0.06</f>
        <v>5.0999999999999996</v>
      </c>
      <c r="K12" s="271">
        <f>0.083*I12</f>
        <v>0</v>
      </c>
      <c r="L12" s="271">
        <v>0</v>
      </c>
      <c r="M12" s="234" t="s">
        <v>207</v>
      </c>
    </row>
    <row r="13" spans="1:13">
      <c r="A13" s="272"/>
      <c r="B13" s="272"/>
      <c r="C13" s="272"/>
      <c r="D13" s="272"/>
      <c r="E13" s="60">
        <v>1.5</v>
      </c>
      <c r="F13" s="270"/>
      <c r="G13" s="270"/>
      <c r="H13" s="272"/>
      <c r="I13" s="272"/>
      <c r="J13" s="272"/>
      <c r="K13" s="272"/>
      <c r="L13" s="272"/>
      <c r="M13" s="234"/>
    </row>
    <row r="14" spans="1:13">
      <c r="A14" s="271">
        <v>95</v>
      </c>
      <c r="B14" s="271">
        <v>510</v>
      </c>
      <c r="C14" s="271">
        <f>B14-A14</f>
        <v>415</v>
      </c>
      <c r="D14" s="271">
        <f>C14-99.5</f>
        <v>315.5</v>
      </c>
      <c r="E14" s="60">
        <v>1.5</v>
      </c>
      <c r="F14" s="269">
        <f>(E14+E15)/2</f>
        <v>1.5</v>
      </c>
      <c r="G14" s="269">
        <f>D14*F14</f>
        <v>473.25</v>
      </c>
      <c r="H14" s="271">
        <f>425+10</f>
        <v>435</v>
      </c>
      <c r="I14" s="271"/>
      <c r="J14" s="271">
        <f>H14*0.06</f>
        <v>26.1</v>
      </c>
      <c r="K14" s="271">
        <f>0.083*I14</f>
        <v>0</v>
      </c>
      <c r="L14" s="271">
        <f>425+12</f>
        <v>437</v>
      </c>
      <c r="M14" s="234" t="s">
        <v>207</v>
      </c>
    </row>
    <row r="15" spans="1:13">
      <c r="A15" s="272"/>
      <c r="B15" s="272"/>
      <c r="C15" s="272"/>
      <c r="D15" s="272"/>
      <c r="E15" s="60">
        <v>1.5</v>
      </c>
      <c r="F15" s="270"/>
      <c r="G15" s="270"/>
      <c r="H15" s="272"/>
      <c r="I15" s="272"/>
      <c r="J15" s="272"/>
      <c r="K15" s="272"/>
      <c r="L15" s="272"/>
      <c r="M15" s="235"/>
    </row>
    <row r="16" spans="1:13">
      <c r="A16" s="271">
        <v>0</v>
      </c>
      <c r="B16" s="271">
        <v>55</v>
      </c>
      <c r="C16" s="271">
        <f>B16-A16</f>
        <v>55</v>
      </c>
      <c r="D16" s="271">
        <f>C16</f>
        <v>55</v>
      </c>
      <c r="E16" s="60">
        <v>0</v>
      </c>
      <c r="F16" s="269">
        <f>(E16+E17)/2</f>
        <v>0</v>
      </c>
      <c r="G16" s="269"/>
      <c r="H16" s="271">
        <v>55</v>
      </c>
      <c r="I16" s="271"/>
      <c r="J16" s="271">
        <v>0</v>
      </c>
      <c r="K16" s="271">
        <f>I16*0.083</f>
        <v>0</v>
      </c>
      <c r="L16" s="271">
        <v>0</v>
      </c>
      <c r="M16" s="235" t="s">
        <v>204</v>
      </c>
    </row>
    <row r="17" spans="1:13">
      <c r="A17" s="272"/>
      <c r="B17" s="272"/>
      <c r="C17" s="272"/>
      <c r="D17" s="272"/>
      <c r="E17" s="60">
        <v>0</v>
      </c>
      <c r="F17" s="270"/>
      <c r="G17" s="270"/>
      <c r="H17" s="272"/>
      <c r="I17" s="272"/>
      <c r="J17" s="272"/>
      <c r="K17" s="272"/>
      <c r="L17" s="272"/>
      <c r="M17" s="235"/>
    </row>
    <row r="18" spans="1:13">
      <c r="A18" s="271">
        <v>55</v>
      </c>
      <c r="B18" s="271">
        <v>133</v>
      </c>
      <c r="C18" s="271">
        <f>B18-A18</f>
        <v>78</v>
      </c>
      <c r="D18" s="271">
        <f>C18-6</f>
        <v>72</v>
      </c>
      <c r="E18" s="60">
        <v>0.5</v>
      </c>
      <c r="F18" s="269">
        <f>(E18+E19)/2</f>
        <v>0.5</v>
      </c>
      <c r="G18" s="269">
        <f>D18*F18</f>
        <v>36</v>
      </c>
      <c r="H18" s="271">
        <v>72</v>
      </c>
      <c r="I18" s="271"/>
      <c r="J18" s="271">
        <f>H18*0.06</f>
        <v>4.3</v>
      </c>
      <c r="K18" s="271">
        <f>I18*0.083</f>
        <v>0</v>
      </c>
      <c r="L18" s="271">
        <v>13</v>
      </c>
      <c r="M18" s="235" t="s">
        <v>204</v>
      </c>
    </row>
    <row r="19" spans="1:13">
      <c r="A19" s="272"/>
      <c r="B19" s="272"/>
      <c r="C19" s="272"/>
      <c r="D19" s="272"/>
      <c r="E19" s="60">
        <v>0.5</v>
      </c>
      <c r="F19" s="270"/>
      <c r="G19" s="270"/>
      <c r="H19" s="272"/>
      <c r="I19" s="272"/>
      <c r="J19" s="272"/>
      <c r="K19" s="272"/>
      <c r="L19" s="272"/>
      <c r="M19" s="235"/>
    </row>
    <row r="20" spans="1:13">
      <c r="A20" s="271">
        <v>133</v>
      </c>
      <c r="B20" s="276">
        <v>175</v>
      </c>
      <c r="C20" s="271">
        <f>B20-A20</f>
        <v>42</v>
      </c>
      <c r="D20" s="271">
        <f>C20</f>
        <v>42</v>
      </c>
      <c r="E20" s="60">
        <v>1</v>
      </c>
      <c r="F20" s="269">
        <f>(E20+E21)/2</f>
        <v>1</v>
      </c>
      <c r="G20" s="269">
        <f>D20*F20</f>
        <v>42</v>
      </c>
      <c r="H20" s="271">
        <v>42</v>
      </c>
      <c r="I20" s="271"/>
      <c r="J20" s="271">
        <f>H20*0.06</f>
        <v>2.5</v>
      </c>
      <c r="K20" s="271">
        <f>I20*0.083</f>
        <v>0</v>
      </c>
      <c r="L20" s="271">
        <v>43</v>
      </c>
      <c r="M20" s="235" t="s">
        <v>204</v>
      </c>
    </row>
    <row r="21" spans="1:13">
      <c r="A21" s="272"/>
      <c r="B21" s="272"/>
      <c r="C21" s="272"/>
      <c r="D21" s="272"/>
      <c r="E21" s="60">
        <v>1</v>
      </c>
      <c r="F21" s="270"/>
      <c r="G21" s="270"/>
      <c r="H21" s="272"/>
      <c r="I21" s="272"/>
      <c r="J21" s="272"/>
      <c r="K21" s="272"/>
      <c r="L21" s="272"/>
      <c r="M21" s="235"/>
    </row>
    <row r="22" spans="1:13">
      <c r="A22" s="271">
        <v>0</v>
      </c>
      <c r="B22" s="276">
        <v>67</v>
      </c>
      <c r="C22" s="271">
        <f>B22-A22</f>
        <v>67</v>
      </c>
      <c r="D22" s="271">
        <f>C22+10</f>
        <v>77</v>
      </c>
      <c r="E22" s="60">
        <v>1.5</v>
      </c>
      <c r="F22" s="269">
        <f>(E22+E23)/2</f>
        <v>1.5</v>
      </c>
      <c r="G22" s="269">
        <f>D22*F22</f>
        <v>115.5</v>
      </c>
      <c r="H22" s="271">
        <v>77</v>
      </c>
      <c r="I22" s="271"/>
      <c r="J22" s="271">
        <f>H22*0.06</f>
        <v>4.5999999999999996</v>
      </c>
      <c r="K22" s="271">
        <f>I22*0.083</f>
        <v>0</v>
      </c>
      <c r="L22" s="271">
        <v>80</v>
      </c>
      <c r="M22" s="235" t="s">
        <v>213</v>
      </c>
    </row>
    <row r="23" spans="1:13">
      <c r="A23" s="272"/>
      <c r="B23" s="272"/>
      <c r="C23" s="272"/>
      <c r="D23" s="272"/>
      <c r="E23" s="60">
        <v>1.5</v>
      </c>
      <c r="F23" s="270"/>
      <c r="G23" s="270"/>
      <c r="H23" s="272"/>
      <c r="I23" s="272"/>
      <c r="J23" s="272"/>
      <c r="K23" s="272"/>
      <c r="L23" s="272"/>
      <c r="M23" s="235"/>
    </row>
    <row r="24" spans="1:13">
      <c r="A24" s="277" t="s">
        <v>216</v>
      </c>
      <c r="B24" s="278"/>
      <c r="C24" s="271"/>
      <c r="D24" s="271">
        <v>10</v>
      </c>
      <c r="E24" s="60">
        <v>2</v>
      </c>
      <c r="F24" s="269">
        <f>(E25+E24)/2</f>
        <v>2</v>
      </c>
      <c r="G24" s="269">
        <f>D24*F24</f>
        <v>20</v>
      </c>
      <c r="H24" s="271">
        <v>10</v>
      </c>
      <c r="I24" s="271"/>
      <c r="J24" s="271">
        <f>H24*0.06</f>
        <v>0.6</v>
      </c>
      <c r="K24" s="271"/>
      <c r="L24" s="271">
        <v>5</v>
      </c>
    </row>
    <row r="25" spans="1:13">
      <c r="A25" s="279"/>
      <c r="B25" s="280"/>
      <c r="C25" s="272"/>
      <c r="D25" s="272"/>
      <c r="E25" s="60">
        <v>2</v>
      </c>
      <c r="F25" s="270"/>
      <c r="G25" s="270"/>
      <c r="H25" s="272"/>
      <c r="I25" s="272"/>
      <c r="J25" s="272"/>
      <c r="K25" s="272"/>
      <c r="L25" s="272"/>
    </row>
    <row r="26" spans="1:13">
      <c r="A26" s="63"/>
      <c r="B26" s="61"/>
      <c r="C26" s="61">
        <f>SUM(C10:C25)</f>
        <v>770</v>
      </c>
      <c r="D26" s="61">
        <f>SUM(D10:D25)</f>
        <v>666.5</v>
      </c>
      <c r="E26" s="60"/>
      <c r="F26" s="62"/>
      <c r="G26" s="62"/>
      <c r="H26" s="61"/>
      <c r="I26" s="61"/>
      <c r="J26" s="61"/>
      <c r="K26" s="61"/>
      <c r="L26" s="61"/>
    </row>
    <row r="27" spans="1:13">
      <c r="A27" s="283" t="s">
        <v>166</v>
      </c>
      <c r="B27" s="284"/>
      <c r="C27" s="284"/>
      <c r="D27" s="284"/>
      <c r="E27" s="284"/>
      <c r="F27" s="285"/>
      <c r="G27" s="106">
        <f>SUM(G10:G25)</f>
        <v>829.25</v>
      </c>
      <c r="H27" s="108">
        <f>SUM(H10:H26)</f>
        <v>804</v>
      </c>
      <c r="I27" s="64">
        <f>SUM(I10:I26)</f>
        <v>0</v>
      </c>
      <c r="J27" s="51"/>
      <c r="K27" s="64">
        <f>SUM(K10:K26)</f>
        <v>0</v>
      </c>
      <c r="L27" s="108">
        <f>SUM(L10:L26)</f>
        <v>593</v>
      </c>
    </row>
    <row r="28" spans="1:13">
      <c r="A28" s="52"/>
      <c r="B28" s="52"/>
      <c r="C28" s="52"/>
      <c r="D28" s="52"/>
      <c r="E28" s="65"/>
      <c r="F28" s="65"/>
      <c r="G28" s="1"/>
      <c r="H28" s="1"/>
      <c r="I28" s="1"/>
      <c r="J28" s="1"/>
      <c r="K28" s="1"/>
      <c r="L28" s="1"/>
    </row>
    <row r="29" spans="1:13">
      <c r="A29" s="282"/>
      <c r="B29" s="282"/>
      <c r="C29" s="52"/>
      <c r="D29" s="66"/>
      <c r="E29" s="1"/>
      <c r="F29" s="1"/>
      <c r="G29" s="1"/>
      <c r="H29" s="1"/>
      <c r="I29" s="1"/>
      <c r="J29" s="1"/>
      <c r="K29" s="1"/>
      <c r="L29" s="1"/>
    </row>
    <row r="31" spans="1:13">
      <c r="A31" s="281"/>
      <c r="B31" s="281"/>
      <c r="C31" s="281"/>
      <c r="D31" s="281"/>
      <c r="E31" s="281"/>
      <c r="F31" s="281"/>
      <c r="G31" s="281"/>
      <c r="H31" s="281"/>
      <c r="I31" s="281"/>
      <c r="J31" s="281"/>
    </row>
  </sheetData>
  <sheetProtection password="CAC3" sheet="1" objects="1" scenarios="1"/>
  <mergeCells count="115">
    <mergeCell ref="K6:K7"/>
    <mergeCell ref="L6:L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L12:L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F12:F13"/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F10:F11"/>
    <mergeCell ref="G24:G25"/>
    <mergeCell ref="H24:H25"/>
    <mergeCell ref="A24:B25"/>
    <mergeCell ref="C24:C25"/>
    <mergeCell ref="D24:D25"/>
    <mergeCell ref="L24:L25"/>
    <mergeCell ref="A31:J31"/>
    <mergeCell ref="A29:B29"/>
    <mergeCell ref="A27:F27"/>
    <mergeCell ref="F24:F25"/>
    <mergeCell ref="K24:K25"/>
    <mergeCell ref="I24:I25"/>
    <mergeCell ref="J24:J2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J18:J19"/>
    <mergeCell ref="K18:K19"/>
    <mergeCell ref="G18:G19"/>
    <mergeCell ref="L18:L19"/>
    <mergeCell ref="H18:H19"/>
    <mergeCell ref="J16:J17"/>
    <mergeCell ref="K16:K17"/>
    <mergeCell ref="F18:F19"/>
    <mergeCell ref="I18:I19"/>
    <mergeCell ref="A16:A17"/>
    <mergeCell ref="L14:L15"/>
    <mergeCell ref="A1:L1"/>
    <mergeCell ref="C3:G3"/>
    <mergeCell ref="A4:B4"/>
    <mergeCell ref="A14:A15"/>
    <mergeCell ref="B14:B15"/>
    <mergeCell ref="C14:C15"/>
    <mergeCell ref="J14:J15"/>
    <mergeCell ref="K14:K15"/>
    <mergeCell ref="D14:D15"/>
    <mergeCell ref="F14:F15"/>
    <mergeCell ref="G14:G15"/>
    <mergeCell ref="H14:H15"/>
    <mergeCell ref="B16:B17"/>
    <mergeCell ref="C16:C17"/>
    <mergeCell ref="I14:I15"/>
    <mergeCell ref="F16:F17"/>
    <mergeCell ref="G16:G17"/>
    <mergeCell ref="D16:D17"/>
    <mergeCell ref="H16:H17"/>
    <mergeCell ref="I16:I17"/>
    <mergeCell ref="L16:L17"/>
    <mergeCell ref="L10:L11"/>
    <mergeCell ref="F20:F21"/>
    <mergeCell ref="K20:K21"/>
    <mergeCell ref="L20:L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K22:K23"/>
    <mergeCell ref="L22:L2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4"/>
  <sheetViews>
    <sheetView showGridLines="0" workbookViewId="0">
      <selection activeCell="B44" sqref="B44:C44"/>
    </sheetView>
  </sheetViews>
  <sheetFormatPr defaultRowHeight="12.75"/>
  <cols>
    <col min="1" max="1" width="2.28515625" style="1" customWidth="1"/>
    <col min="2" max="2" width="9.85546875" style="1" customWidth="1"/>
    <col min="3" max="3" width="10.28515625" style="1" customWidth="1"/>
    <col min="4" max="4" width="9" style="1" customWidth="1"/>
    <col min="5" max="6" width="8.42578125" style="1" customWidth="1"/>
    <col min="7" max="7" width="6.85546875" style="1" customWidth="1"/>
    <col min="8" max="8" width="9.42578125" style="1" customWidth="1"/>
    <col min="9" max="9" width="6.85546875" style="1" customWidth="1"/>
    <col min="10" max="10" width="7" style="1" customWidth="1"/>
    <col min="11" max="11" width="7.28515625" style="1" customWidth="1"/>
    <col min="12" max="12" width="6.85546875" style="1" customWidth="1"/>
    <col min="13" max="13" width="7.140625" style="1" customWidth="1"/>
    <col min="14" max="14" width="15.42578125" style="1" customWidth="1"/>
    <col min="15" max="16384" width="9.140625" style="1"/>
  </cols>
  <sheetData>
    <row r="1" spans="2:14" ht="15.75" customHeight="1">
      <c r="B1" s="273" t="s">
        <v>167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52"/>
    </row>
    <row r="2" spans="2:14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81.75" customHeight="1">
      <c r="B3" s="51"/>
      <c r="C3" s="51"/>
      <c r="D3" s="274" t="s">
        <v>208</v>
      </c>
      <c r="E3" s="274"/>
      <c r="F3" s="274"/>
      <c r="G3" s="274"/>
      <c r="H3" s="274"/>
      <c r="I3" s="53" t="s">
        <v>168</v>
      </c>
      <c r="J3" s="53" t="s">
        <v>150</v>
      </c>
      <c r="K3" s="53" t="s">
        <v>151</v>
      </c>
      <c r="L3" s="53" t="s">
        <v>152</v>
      </c>
      <c r="M3" s="53" t="s">
        <v>153</v>
      </c>
      <c r="N3" s="52"/>
    </row>
    <row r="4" spans="2:14" ht="38.25">
      <c r="B4" s="275" t="s">
        <v>169</v>
      </c>
      <c r="C4" s="275"/>
      <c r="D4" s="55" t="s">
        <v>155</v>
      </c>
      <c r="E4" s="55" t="s">
        <v>156</v>
      </c>
      <c r="F4" s="51" t="s">
        <v>157</v>
      </c>
      <c r="G4" s="55" t="s">
        <v>158</v>
      </c>
      <c r="H4" s="55" t="s">
        <v>159</v>
      </c>
      <c r="I4" s="51"/>
      <c r="J4" s="51"/>
      <c r="K4" s="51"/>
      <c r="L4" s="51"/>
      <c r="M4" s="51"/>
      <c r="N4" s="52"/>
    </row>
    <row r="5" spans="2:14" ht="14.25">
      <c r="B5" s="55" t="s">
        <v>162</v>
      </c>
      <c r="C5" s="55" t="s">
        <v>162</v>
      </c>
      <c r="D5" s="58" t="s">
        <v>12</v>
      </c>
      <c r="E5" s="58"/>
      <c r="F5" s="58" t="s">
        <v>12</v>
      </c>
      <c r="G5" s="58" t="s">
        <v>12</v>
      </c>
      <c r="H5" s="58" t="s">
        <v>163</v>
      </c>
      <c r="I5" s="58" t="s">
        <v>12</v>
      </c>
      <c r="J5" s="58" t="s">
        <v>12</v>
      </c>
      <c r="K5" s="58" t="s">
        <v>164</v>
      </c>
      <c r="L5" s="58" t="s">
        <v>164</v>
      </c>
      <c r="M5" s="58" t="s">
        <v>12</v>
      </c>
      <c r="N5" s="52"/>
    </row>
    <row r="6" spans="2:14" ht="16.5" customHeight="1">
      <c r="B6" s="271">
        <v>28</v>
      </c>
      <c r="C6" s="271">
        <v>45</v>
      </c>
      <c r="D6" s="271">
        <f>C6-B6</f>
        <v>17</v>
      </c>
      <c r="E6" s="271">
        <f>D6</f>
        <v>17</v>
      </c>
      <c r="F6" s="60">
        <v>1.5</v>
      </c>
      <c r="G6" s="269">
        <f>(F7+F6)/2</f>
        <v>1.45</v>
      </c>
      <c r="H6" s="269">
        <f>G6*E6</f>
        <v>24.65</v>
      </c>
      <c r="I6" s="271">
        <v>17</v>
      </c>
      <c r="J6" s="271"/>
      <c r="K6" s="271">
        <f>I6*0.06</f>
        <v>1</v>
      </c>
      <c r="L6" s="271"/>
      <c r="M6" s="276">
        <v>0</v>
      </c>
      <c r="N6" s="236" t="s">
        <v>202</v>
      </c>
    </row>
    <row r="7" spans="2:14">
      <c r="B7" s="272"/>
      <c r="C7" s="272"/>
      <c r="D7" s="272"/>
      <c r="E7" s="272"/>
      <c r="F7" s="60">
        <v>1.4</v>
      </c>
      <c r="G7" s="270"/>
      <c r="H7" s="270"/>
      <c r="I7" s="272"/>
      <c r="J7" s="272"/>
      <c r="K7" s="272"/>
      <c r="L7" s="272"/>
      <c r="M7" s="272"/>
      <c r="N7" s="236"/>
    </row>
    <row r="8" spans="2:14">
      <c r="B8" s="271">
        <v>45</v>
      </c>
      <c r="C8" s="271">
        <v>60</v>
      </c>
      <c r="D8" s="271">
        <f>C8-B8</f>
        <v>15</v>
      </c>
      <c r="E8" s="271">
        <f>D8</f>
        <v>15</v>
      </c>
      <c r="F8" s="60">
        <v>1.4</v>
      </c>
      <c r="G8" s="269">
        <f>(F9+F8)/2</f>
        <v>1.7</v>
      </c>
      <c r="H8" s="269">
        <f>G8*E8</f>
        <v>25.5</v>
      </c>
      <c r="I8" s="271">
        <v>15</v>
      </c>
      <c r="J8" s="271"/>
      <c r="K8" s="271">
        <f>I8*0.06</f>
        <v>0.9</v>
      </c>
      <c r="L8" s="271"/>
      <c r="M8" s="271">
        <v>0</v>
      </c>
      <c r="N8" s="237" t="s">
        <v>202</v>
      </c>
    </row>
    <row r="9" spans="2:14">
      <c r="B9" s="272"/>
      <c r="C9" s="272"/>
      <c r="D9" s="272"/>
      <c r="E9" s="272"/>
      <c r="F9" s="60">
        <v>2</v>
      </c>
      <c r="G9" s="270"/>
      <c r="H9" s="270"/>
      <c r="I9" s="272"/>
      <c r="J9" s="272"/>
      <c r="K9" s="272"/>
      <c r="L9" s="272"/>
      <c r="M9" s="272"/>
      <c r="N9" s="237"/>
    </row>
    <row r="10" spans="2:14">
      <c r="B10" s="271">
        <v>63</v>
      </c>
      <c r="C10" s="271">
        <v>83</v>
      </c>
      <c r="D10" s="271">
        <f t="shared" ref="D10:D32" si="0">C10-B10</f>
        <v>20</v>
      </c>
      <c r="E10" s="271">
        <f>D10</f>
        <v>20</v>
      </c>
      <c r="F10" s="60">
        <v>2</v>
      </c>
      <c r="G10" s="269">
        <f>(F11+F10)/2</f>
        <v>2</v>
      </c>
      <c r="H10" s="269">
        <f>G10*E10</f>
        <v>40</v>
      </c>
      <c r="I10" s="271">
        <v>20</v>
      </c>
      <c r="J10" s="271"/>
      <c r="K10" s="271">
        <f>I10*0.06</f>
        <v>1.2</v>
      </c>
      <c r="L10" s="271"/>
      <c r="M10" s="271">
        <v>3</v>
      </c>
      <c r="N10" s="237" t="s">
        <v>202</v>
      </c>
    </row>
    <row r="11" spans="2:14">
      <c r="B11" s="272"/>
      <c r="C11" s="272"/>
      <c r="D11" s="272"/>
      <c r="E11" s="272"/>
      <c r="F11" s="60">
        <v>2</v>
      </c>
      <c r="G11" s="270"/>
      <c r="H11" s="270"/>
      <c r="I11" s="272"/>
      <c r="J11" s="272"/>
      <c r="K11" s="272"/>
      <c r="L11" s="272"/>
      <c r="M11" s="272"/>
      <c r="N11" s="237"/>
    </row>
    <row r="12" spans="2:14">
      <c r="B12" s="271">
        <v>83</v>
      </c>
      <c r="C12" s="271">
        <v>83</v>
      </c>
      <c r="D12" s="271">
        <f t="shared" si="0"/>
        <v>0</v>
      </c>
      <c r="E12" s="271">
        <v>17</v>
      </c>
      <c r="F12" s="60">
        <v>1.5</v>
      </c>
      <c r="G12" s="269">
        <f>(F13+F12)/2</f>
        <v>1.5</v>
      </c>
      <c r="H12" s="269">
        <f>G12*E12</f>
        <v>25.5</v>
      </c>
      <c r="I12" s="271">
        <v>17</v>
      </c>
      <c r="J12" s="271"/>
      <c r="K12" s="271">
        <f>I12*0.06</f>
        <v>1</v>
      </c>
      <c r="L12" s="271"/>
      <c r="M12" s="276">
        <v>0</v>
      </c>
      <c r="N12" s="237" t="s">
        <v>209</v>
      </c>
    </row>
    <row r="13" spans="2:14">
      <c r="B13" s="272"/>
      <c r="C13" s="272"/>
      <c r="D13" s="272"/>
      <c r="E13" s="272"/>
      <c r="F13" s="60">
        <v>1.5</v>
      </c>
      <c r="G13" s="270"/>
      <c r="H13" s="270"/>
      <c r="I13" s="272"/>
      <c r="J13" s="272"/>
      <c r="K13" s="272"/>
      <c r="L13" s="272"/>
      <c r="M13" s="272"/>
      <c r="N13" s="237"/>
    </row>
    <row r="14" spans="2:14">
      <c r="B14" s="271">
        <v>83</v>
      </c>
      <c r="C14" s="271">
        <v>93</v>
      </c>
      <c r="D14" s="271">
        <f t="shared" si="0"/>
        <v>10</v>
      </c>
      <c r="E14" s="271">
        <f>D14</f>
        <v>10</v>
      </c>
      <c r="F14" s="60"/>
      <c r="G14" s="269">
        <f>(F15+F14)/2</f>
        <v>0</v>
      </c>
      <c r="H14" s="269">
        <v>60</v>
      </c>
      <c r="I14" s="271">
        <v>20</v>
      </c>
      <c r="J14" s="271"/>
      <c r="K14" s="271">
        <f>I14*0.06</f>
        <v>1.2</v>
      </c>
      <c r="L14" s="271"/>
      <c r="M14" s="271">
        <v>15</v>
      </c>
      <c r="N14" s="237" t="s">
        <v>209</v>
      </c>
    </row>
    <row r="15" spans="2:14">
      <c r="B15" s="272"/>
      <c r="C15" s="272"/>
      <c r="D15" s="272"/>
      <c r="E15" s="272"/>
      <c r="F15" s="60"/>
      <c r="G15" s="270"/>
      <c r="H15" s="270"/>
      <c r="I15" s="272"/>
      <c r="J15" s="272"/>
      <c r="K15" s="272"/>
      <c r="L15" s="272"/>
      <c r="M15" s="272"/>
      <c r="N15" s="237"/>
    </row>
    <row r="16" spans="2:14">
      <c r="B16" s="271">
        <v>93</v>
      </c>
      <c r="C16" s="271">
        <v>150</v>
      </c>
      <c r="D16" s="271">
        <f t="shared" ref="D16" si="1">C16-B16</f>
        <v>57</v>
      </c>
      <c r="E16" s="271">
        <f>D16-10</f>
        <v>47</v>
      </c>
      <c r="F16" s="60">
        <v>2.2999999999999998</v>
      </c>
      <c r="G16" s="269">
        <f>(F17+F16)/2</f>
        <v>2.2999999999999998</v>
      </c>
      <c r="H16" s="269">
        <f>G16*E16</f>
        <v>108.1</v>
      </c>
      <c r="I16" s="271">
        <v>59</v>
      </c>
      <c r="J16" s="271"/>
      <c r="K16" s="271">
        <f>I16*0.06</f>
        <v>3.5</v>
      </c>
      <c r="L16" s="271"/>
      <c r="M16" s="271">
        <v>10</v>
      </c>
      <c r="N16" s="237" t="s">
        <v>202</v>
      </c>
    </row>
    <row r="17" spans="2:14">
      <c r="B17" s="272"/>
      <c r="C17" s="272"/>
      <c r="D17" s="272"/>
      <c r="E17" s="272"/>
      <c r="F17" s="60">
        <v>2.2999999999999998</v>
      </c>
      <c r="G17" s="270"/>
      <c r="H17" s="270"/>
      <c r="I17" s="272"/>
      <c r="J17" s="272"/>
      <c r="K17" s="272"/>
      <c r="L17" s="272"/>
      <c r="M17" s="272"/>
      <c r="N17" s="237"/>
    </row>
    <row r="18" spans="2:14">
      <c r="B18" s="286">
        <v>160</v>
      </c>
      <c r="C18" s="286">
        <v>196.5</v>
      </c>
      <c r="D18" s="286">
        <f t="shared" si="0"/>
        <v>36.5</v>
      </c>
      <c r="E18" s="286">
        <f>D18</f>
        <v>36.5</v>
      </c>
      <c r="F18" s="126">
        <v>1.5</v>
      </c>
      <c r="G18" s="288">
        <f>(F19+F18)/2</f>
        <v>1.5</v>
      </c>
      <c r="H18" s="288">
        <f>G18*E18</f>
        <v>54.75</v>
      </c>
      <c r="I18" s="286">
        <v>38</v>
      </c>
      <c r="J18" s="286"/>
      <c r="K18" s="286">
        <f>I18*0.06</f>
        <v>2.2999999999999998</v>
      </c>
      <c r="L18" s="286"/>
      <c r="M18" s="286">
        <v>0</v>
      </c>
      <c r="N18" s="237" t="s">
        <v>202</v>
      </c>
    </row>
    <row r="19" spans="2:14">
      <c r="B19" s="287"/>
      <c r="C19" s="287"/>
      <c r="D19" s="287"/>
      <c r="E19" s="287"/>
      <c r="F19" s="126">
        <v>1.5</v>
      </c>
      <c r="G19" s="289"/>
      <c r="H19" s="289"/>
      <c r="I19" s="287"/>
      <c r="J19" s="287"/>
      <c r="K19" s="287"/>
      <c r="L19" s="287"/>
      <c r="M19" s="287"/>
      <c r="N19" s="237"/>
    </row>
    <row r="20" spans="2:14">
      <c r="B20" s="286">
        <v>0</v>
      </c>
      <c r="C20" s="286">
        <v>42</v>
      </c>
      <c r="D20" s="286">
        <f t="shared" si="0"/>
        <v>42</v>
      </c>
      <c r="E20" s="286">
        <f>D20</f>
        <v>42</v>
      </c>
      <c r="F20" s="126">
        <v>2</v>
      </c>
      <c r="G20" s="288">
        <f>(F21+F20)/2</f>
        <v>2</v>
      </c>
      <c r="H20" s="288">
        <f>G20*E20</f>
        <v>84</v>
      </c>
      <c r="I20" s="286">
        <v>45</v>
      </c>
      <c r="J20" s="286"/>
      <c r="K20" s="286">
        <f>I20*0.06</f>
        <v>2.7</v>
      </c>
      <c r="L20" s="286"/>
      <c r="M20" s="286">
        <v>0</v>
      </c>
      <c r="N20" s="237" t="s">
        <v>207</v>
      </c>
    </row>
    <row r="21" spans="2:14">
      <c r="B21" s="287"/>
      <c r="C21" s="287"/>
      <c r="D21" s="287"/>
      <c r="E21" s="287"/>
      <c r="F21" s="126">
        <v>2</v>
      </c>
      <c r="G21" s="289"/>
      <c r="H21" s="289"/>
      <c r="I21" s="287"/>
      <c r="J21" s="287"/>
      <c r="K21" s="287"/>
      <c r="L21" s="287"/>
      <c r="M21" s="287"/>
      <c r="N21" s="237"/>
    </row>
    <row r="22" spans="2:14">
      <c r="B22" s="286">
        <v>42</v>
      </c>
      <c r="C22" s="286">
        <v>388</v>
      </c>
      <c r="D22" s="286">
        <f t="shared" ref="D22" si="2">C22-B22</f>
        <v>346</v>
      </c>
      <c r="E22" s="286">
        <f>D22-12*5</f>
        <v>286</v>
      </c>
      <c r="F22" s="126">
        <v>1.5</v>
      </c>
      <c r="G22" s="288">
        <f>(F23+F22)/2</f>
        <v>1.5</v>
      </c>
      <c r="H22" s="288">
        <f>G22*E22</f>
        <v>429</v>
      </c>
      <c r="I22" s="286">
        <v>346</v>
      </c>
      <c r="J22" s="286"/>
      <c r="K22" s="286">
        <f>I22*0.06</f>
        <v>20.8</v>
      </c>
      <c r="L22" s="286"/>
      <c r="M22" s="286">
        <f>300+2+4+3</f>
        <v>309</v>
      </c>
      <c r="N22" s="237" t="s">
        <v>207</v>
      </c>
    </row>
    <row r="23" spans="2:14">
      <c r="B23" s="287"/>
      <c r="C23" s="287"/>
      <c r="D23" s="287"/>
      <c r="E23" s="287"/>
      <c r="F23" s="126">
        <v>1.5</v>
      </c>
      <c r="G23" s="289"/>
      <c r="H23" s="289"/>
      <c r="I23" s="287"/>
      <c r="J23" s="287"/>
      <c r="K23" s="287"/>
      <c r="L23" s="287"/>
      <c r="M23" s="287"/>
      <c r="N23" s="237"/>
    </row>
    <row r="24" spans="2:14">
      <c r="B24" s="286">
        <v>493</v>
      </c>
      <c r="C24" s="286">
        <v>515</v>
      </c>
      <c r="D24" s="286">
        <f t="shared" si="0"/>
        <v>22</v>
      </c>
      <c r="E24" s="286">
        <f>D24</f>
        <v>22</v>
      </c>
      <c r="F24" s="126">
        <v>1.5</v>
      </c>
      <c r="G24" s="288">
        <f>(F25+F24)/2</f>
        <v>1.5</v>
      </c>
      <c r="H24" s="288">
        <f>G24*E24</f>
        <v>33</v>
      </c>
      <c r="I24" s="286">
        <v>23</v>
      </c>
      <c r="J24" s="286"/>
      <c r="K24" s="286">
        <f>I24*0.06</f>
        <v>1.4</v>
      </c>
      <c r="L24" s="286"/>
      <c r="M24" s="286">
        <v>23</v>
      </c>
      <c r="N24" s="237" t="s">
        <v>207</v>
      </c>
    </row>
    <row r="25" spans="2:14">
      <c r="B25" s="287"/>
      <c r="C25" s="287"/>
      <c r="D25" s="287"/>
      <c r="E25" s="287"/>
      <c r="F25" s="126">
        <v>1.5</v>
      </c>
      <c r="G25" s="289"/>
      <c r="H25" s="289"/>
      <c r="I25" s="287"/>
      <c r="J25" s="287"/>
      <c r="K25" s="287"/>
      <c r="L25" s="287"/>
      <c r="M25" s="287"/>
      <c r="N25" s="237"/>
    </row>
    <row r="26" spans="2:14">
      <c r="B26" s="286">
        <v>0</v>
      </c>
      <c r="C26" s="286">
        <v>5</v>
      </c>
      <c r="D26" s="286">
        <f t="shared" si="0"/>
        <v>5</v>
      </c>
      <c r="E26" s="286">
        <f>D26+7</f>
        <v>12</v>
      </c>
      <c r="F26" s="126">
        <v>1.5</v>
      </c>
      <c r="G26" s="288">
        <f>(F27+F26)/2</f>
        <v>1.5</v>
      </c>
      <c r="H26" s="288">
        <f>E26*G26</f>
        <v>18</v>
      </c>
      <c r="I26" s="286">
        <v>12</v>
      </c>
      <c r="J26" s="286"/>
      <c r="K26" s="286">
        <f>I26*0.06</f>
        <v>0.7</v>
      </c>
      <c r="L26" s="286"/>
      <c r="M26" s="286">
        <v>14</v>
      </c>
      <c r="N26" s="237" t="s">
        <v>204</v>
      </c>
    </row>
    <row r="27" spans="2:14" ht="24" customHeight="1">
      <c r="B27" s="287"/>
      <c r="C27" s="287"/>
      <c r="D27" s="287"/>
      <c r="E27" s="287"/>
      <c r="F27" s="126">
        <v>1.5</v>
      </c>
      <c r="G27" s="289"/>
      <c r="H27" s="289"/>
      <c r="I27" s="287"/>
      <c r="J27" s="287"/>
      <c r="K27" s="287"/>
      <c r="L27" s="287"/>
      <c r="M27" s="287"/>
      <c r="N27" s="237"/>
    </row>
    <row r="28" spans="2:14" ht="19.5" customHeight="1">
      <c r="B28" s="271">
        <v>5</v>
      </c>
      <c r="C28" s="271">
        <v>45</v>
      </c>
      <c r="D28" s="271">
        <f t="shared" si="0"/>
        <v>40</v>
      </c>
      <c r="E28" s="271">
        <f>D28-6</f>
        <v>34</v>
      </c>
      <c r="F28" s="60">
        <v>1.5</v>
      </c>
      <c r="G28" s="269">
        <f>(F29+F28)/2</f>
        <v>1.5</v>
      </c>
      <c r="H28" s="269">
        <f>E28*G28</f>
        <v>51</v>
      </c>
      <c r="I28" s="271">
        <v>40</v>
      </c>
      <c r="J28" s="271"/>
      <c r="K28" s="271">
        <f>I28*0.06</f>
        <v>2.4</v>
      </c>
      <c r="L28" s="271"/>
      <c r="M28" s="271">
        <v>50</v>
      </c>
      <c r="N28" s="237" t="s">
        <v>204</v>
      </c>
    </row>
    <row r="29" spans="2:14" ht="22.5" customHeight="1">
      <c r="B29" s="272"/>
      <c r="C29" s="272"/>
      <c r="D29" s="272"/>
      <c r="E29" s="272"/>
      <c r="F29" s="60">
        <v>1.5</v>
      </c>
      <c r="G29" s="270"/>
      <c r="H29" s="270"/>
      <c r="I29" s="272"/>
      <c r="J29" s="272"/>
      <c r="K29" s="272"/>
      <c r="L29" s="272"/>
      <c r="M29" s="272"/>
      <c r="N29" s="237"/>
    </row>
    <row r="30" spans="2:14">
      <c r="B30" s="271">
        <f>C28</f>
        <v>45</v>
      </c>
      <c r="C30" s="271">
        <v>59</v>
      </c>
      <c r="D30" s="271">
        <f t="shared" si="0"/>
        <v>14</v>
      </c>
      <c r="E30" s="271">
        <f>D30</f>
        <v>14</v>
      </c>
      <c r="F30" s="60">
        <v>1.5</v>
      </c>
      <c r="G30" s="269">
        <f>(F31+F30)/2</f>
        <v>0.75</v>
      </c>
      <c r="H30" s="269">
        <f>E30*G30</f>
        <v>10.5</v>
      </c>
      <c r="I30" s="271">
        <v>14</v>
      </c>
      <c r="J30" s="271"/>
      <c r="K30" s="271">
        <f>I30*0.06</f>
        <v>0.8</v>
      </c>
      <c r="L30" s="271"/>
      <c r="M30" s="271"/>
      <c r="N30" s="237" t="s">
        <v>204</v>
      </c>
    </row>
    <row r="31" spans="2:14">
      <c r="B31" s="272"/>
      <c r="C31" s="272"/>
      <c r="D31" s="272"/>
      <c r="E31" s="272"/>
      <c r="F31" s="60">
        <v>0</v>
      </c>
      <c r="G31" s="270"/>
      <c r="H31" s="270"/>
      <c r="I31" s="272"/>
      <c r="J31" s="272"/>
      <c r="K31" s="272"/>
      <c r="L31" s="272"/>
      <c r="M31" s="272"/>
      <c r="N31" s="237"/>
    </row>
    <row r="32" spans="2:14">
      <c r="B32" s="271">
        <f>C30</f>
        <v>59</v>
      </c>
      <c r="C32" s="271">
        <v>179</v>
      </c>
      <c r="D32" s="271">
        <f t="shared" si="0"/>
        <v>120</v>
      </c>
      <c r="E32" s="271">
        <f>D32-17-5-6-6-6-4.5</f>
        <v>75.5</v>
      </c>
      <c r="F32" s="60">
        <v>1.5</v>
      </c>
      <c r="G32" s="269">
        <f>(F33+F32)/2</f>
        <v>1.5</v>
      </c>
      <c r="H32" s="269">
        <f>E32*G32</f>
        <v>113.25</v>
      </c>
      <c r="I32" s="271">
        <v>120</v>
      </c>
      <c r="J32" s="271"/>
      <c r="K32" s="271">
        <f>I32*0.06</f>
        <v>7.2</v>
      </c>
      <c r="L32" s="271"/>
      <c r="M32" s="271">
        <v>120</v>
      </c>
      <c r="N32" s="237" t="s">
        <v>204</v>
      </c>
    </row>
    <row r="33" spans="2:14">
      <c r="B33" s="272"/>
      <c r="C33" s="272"/>
      <c r="D33" s="272"/>
      <c r="E33" s="272"/>
      <c r="F33" s="60">
        <v>1.5</v>
      </c>
      <c r="G33" s="270"/>
      <c r="H33" s="270"/>
      <c r="I33" s="272"/>
      <c r="J33" s="272"/>
      <c r="K33" s="272"/>
      <c r="L33" s="272"/>
      <c r="M33" s="272"/>
      <c r="N33" s="237"/>
    </row>
    <row r="34" spans="2:14">
      <c r="B34" s="271">
        <v>30</v>
      </c>
      <c r="C34" s="271">
        <v>67</v>
      </c>
      <c r="D34" s="271">
        <f t="shared" ref="D34" si="3">C34-B34</f>
        <v>37</v>
      </c>
      <c r="E34" s="271">
        <f>D34</f>
        <v>37</v>
      </c>
      <c r="F34" s="60">
        <v>1.5</v>
      </c>
      <c r="G34" s="269">
        <f>(F35+F34)/2</f>
        <v>1.5</v>
      </c>
      <c r="H34" s="269">
        <f>E34*G34</f>
        <v>55.5</v>
      </c>
      <c r="I34" s="271">
        <v>37</v>
      </c>
      <c r="J34" s="271"/>
      <c r="K34" s="271">
        <f>I34*0.06</f>
        <v>2.2000000000000002</v>
      </c>
      <c r="L34" s="271"/>
      <c r="M34" s="271">
        <v>40</v>
      </c>
      <c r="N34" s="237" t="s">
        <v>213</v>
      </c>
    </row>
    <row r="35" spans="2:14">
      <c r="B35" s="272"/>
      <c r="C35" s="272"/>
      <c r="D35" s="272"/>
      <c r="E35" s="272"/>
      <c r="F35" s="60">
        <v>1.5</v>
      </c>
      <c r="G35" s="270"/>
      <c r="H35" s="270"/>
      <c r="I35" s="272"/>
      <c r="J35" s="272"/>
      <c r="K35" s="272"/>
      <c r="L35" s="272"/>
      <c r="M35" s="272"/>
      <c r="N35" s="237"/>
    </row>
    <row r="36" spans="2:14">
      <c r="B36" s="271"/>
      <c r="C36" s="271"/>
      <c r="D36" s="271"/>
      <c r="E36" s="271"/>
      <c r="F36" s="60"/>
      <c r="G36" s="269"/>
      <c r="H36" s="269"/>
      <c r="I36" s="271"/>
      <c r="J36" s="271"/>
      <c r="K36" s="271"/>
      <c r="L36" s="271"/>
      <c r="M36" s="271"/>
      <c r="N36" s="102"/>
    </row>
    <row r="37" spans="2:14">
      <c r="B37" s="272"/>
      <c r="C37" s="272"/>
      <c r="D37" s="272"/>
      <c r="E37" s="272"/>
      <c r="F37" s="60"/>
      <c r="G37" s="270"/>
      <c r="H37" s="270"/>
      <c r="I37" s="272"/>
      <c r="J37" s="272"/>
      <c r="K37" s="272"/>
      <c r="L37" s="272"/>
      <c r="M37" s="272"/>
    </row>
    <row r="38" spans="2:14">
      <c r="B38" s="290" t="s">
        <v>165</v>
      </c>
      <c r="C38" s="278"/>
      <c r="D38" s="271"/>
      <c r="E38" s="271">
        <v>5</v>
      </c>
      <c r="F38" s="60">
        <v>2</v>
      </c>
      <c r="G38" s="269">
        <f>(F39+F38)/2</f>
        <v>2</v>
      </c>
      <c r="H38" s="269">
        <f>E38*G38</f>
        <v>10</v>
      </c>
      <c r="I38" s="271">
        <v>5</v>
      </c>
      <c r="J38" s="271"/>
      <c r="K38" s="271">
        <f>I38*0.06</f>
        <v>0.3</v>
      </c>
      <c r="L38" s="271"/>
      <c r="M38" s="271">
        <v>10</v>
      </c>
    </row>
    <row r="39" spans="2:14">
      <c r="B39" s="279"/>
      <c r="C39" s="280"/>
      <c r="D39" s="272"/>
      <c r="E39" s="272"/>
      <c r="F39" s="60">
        <v>2</v>
      </c>
      <c r="G39" s="270"/>
      <c r="H39" s="270"/>
      <c r="I39" s="272"/>
      <c r="J39" s="272"/>
      <c r="K39" s="272"/>
      <c r="L39" s="272"/>
      <c r="M39" s="272"/>
    </row>
    <row r="40" spans="2:14">
      <c r="B40" s="271"/>
      <c r="C40" s="276"/>
      <c r="D40" s="291">
        <f>SUM(D6:D37)</f>
        <v>781.5</v>
      </c>
      <c r="E40" s="291">
        <f>SUM(E6:E39)</f>
        <v>690</v>
      </c>
      <c r="F40" s="269"/>
      <c r="G40" s="269"/>
      <c r="H40" s="269"/>
      <c r="I40" s="271"/>
      <c r="J40" s="271"/>
      <c r="K40" s="271"/>
      <c r="L40" s="271">
        <f>J40*0.083</f>
        <v>0</v>
      </c>
      <c r="M40" s="271"/>
    </row>
    <row r="41" spans="2:14">
      <c r="B41" s="272"/>
      <c r="C41" s="272"/>
      <c r="D41" s="292"/>
      <c r="E41" s="292"/>
      <c r="F41" s="270"/>
      <c r="G41" s="270"/>
      <c r="H41" s="270"/>
      <c r="I41" s="272"/>
      <c r="J41" s="272"/>
      <c r="K41" s="272"/>
      <c r="L41" s="272"/>
      <c r="M41" s="272"/>
    </row>
    <row r="42" spans="2:14">
      <c r="B42" s="275" t="s">
        <v>166</v>
      </c>
      <c r="C42" s="275"/>
      <c r="D42" s="275"/>
      <c r="E42" s="275"/>
      <c r="F42" s="275"/>
      <c r="G42" s="275"/>
      <c r="H42" s="238">
        <f>SUM(H20:H41)</f>
        <v>804.25</v>
      </c>
      <c r="I42" s="64">
        <f>SUM(I6:I41)</f>
        <v>828</v>
      </c>
      <c r="J42" s="64">
        <f>SUM(J6:J41)</f>
        <v>0</v>
      </c>
      <c r="K42" s="64">
        <f>SUM(K6:K41)</f>
        <v>49.6</v>
      </c>
      <c r="L42" s="64">
        <f>SUM(L6:L41)</f>
        <v>0</v>
      </c>
      <c r="M42" s="64">
        <f>SUM(M6:M41)</f>
        <v>594</v>
      </c>
    </row>
    <row r="43" spans="2:14">
      <c r="B43" s="52"/>
      <c r="C43" s="52"/>
      <c r="D43" s="52"/>
      <c r="E43" s="52"/>
      <c r="F43" s="65"/>
      <c r="G43" s="65"/>
    </row>
    <row r="44" spans="2:14">
      <c r="B44" s="282"/>
      <c r="C44" s="282"/>
      <c r="D44" s="52"/>
      <c r="E44" s="66"/>
    </row>
  </sheetData>
  <sheetProtection password="CAC3" sheet="1" objects="1" scenarios="1"/>
  <mergeCells count="203">
    <mergeCell ref="L16:L17"/>
    <mergeCell ref="M16:M17"/>
    <mergeCell ref="B16:B17"/>
    <mergeCell ref="C16:C17"/>
    <mergeCell ref="D16:D17"/>
    <mergeCell ref="E16:E17"/>
    <mergeCell ref="G16:G17"/>
    <mergeCell ref="H16:H17"/>
    <mergeCell ref="I16:I17"/>
    <mergeCell ref="J16:J17"/>
    <mergeCell ref="K16:K17"/>
    <mergeCell ref="B38:C39"/>
    <mergeCell ref="B44:C44"/>
    <mergeCell ref="I40:I41"/>
    <mergeCell ref="J40:J41"/>
    <mergeCell ref="H38:H39"/>
    <mergeCell ref="J38:J39"/>
    <mergeCell ref="B40:B41"/>
    <mergeCell ref="C40:C41"/>
    <mergeCell ref="B42:G42"/>
    <mergeCell ref="D40:D41"/>
    <mergeCell ref="E40:E41"/>
    <mergeCell ref="F40:F41"/>
    <mergeCell ref="G40:G41"/>
    <mergeCell ref="E38:E39"/>
    <mergeCell ref="I38:I39"/>
    <mergeCell ref="L40:L41"/>
    <mergeCell ref="K38:K39"/>
    <mergeCell ref="M38:M39"/>
    <mergeCell ref="G38:G39"/>
    <mergeCell ref="D38:D39"/>
    <mergeCell ref="H40:H41"/>
    <mergeCell ref="L38:L39"/>
    <mergeCell ref="D30:D31"/>
    <mergeCell ref="E30:E31"/>
    <mergeCell ref="G34:G35"/>
    <mergeCell ref="H34:H35"/>
    <mergeCell ref="I34:I35"/>
    <mergeCell ref="J34:J35"/>
    <mergeCell ref="K34:K35"/>
    <mergeCell ref="L34:L35"/>
    <mergeCell ref="M34:M35"/>
    <mergeCell ref="M40:M41"/>
    <mergeCell ref="K40:K41"/>
    <mergeCell ref="B30:B31"/>
    <mergeCell ref="B28:B29"/>
    <mergeCell ref="B36:B37"/>
    <mergeCell ref="C36:C37"/>
    <mergeCell ref="D36:D37"/>
    <mergeCell ref="E36:E37"/>
    <mergeCell ref="K36:K37"/>
    <mergeCell ref="G36:G37"/>
    <mergeCell ref="H36:H37"/>
    <mergeCell ref="J32:J33"/>
    <mergeCell ref="J36:J37"/>
    <mergeCell ref="I36:I37"/>
    <mergeCell ref="G32:G33"/>
    <mergeCell ref="H32:H33"/>
    <mergeCell ref="B32:B33"/>
    <mergeCell ref="C32:C33"/>
    <mergeCell ref="D32:D33"/>
    <mergeCell ref="E32:E33"/>
    <mergeCell ref="B34:B35"/>
    <mergeCell ref="C34:C35"/>
    <mergeCell ref="D34:D35"/>
    <mergeCell ref="E34:E35"/>
    <mergeCell ref="M28:M29"/>
    <mergeCell ref="K30:K31"/>
    <mergeCell ref="I28:I29"/>
    <mergeCell ref="J28:J29"/>
    <mergeCell ref="L28:L29"/>
    <mergeCell ref="K28:K29"/>
    <mergeCell ref="L36:L37"/>
    <mergeCell ref="L30:L31"/>
    <mergeCell ref="M30:M31"/>
    <mergeCell ref="K32:K33"/>
    <mergeCell ref="L32:L33"/>
    <mergeCell ref="M32:M33"/>
    <mergeCell ref="I32:I33"/>
    <mergeCell ref="M36:M37"/>
    <mergeCell ref="B24:B25"/>
    <mergeCell ref="C24:C25"/>
    <mergeCell ref="D24:D25"/>
    <mergeCell ref="E24:E25"/>
    <mergeCell ref="G24:G25"/>
    <mergeCell ref="J30:J31"/>
    <mergeCell ref="K26:K27"/>
    <mergeCell ref="L26:L27"/>
    <mergeCell ref="H26:H27"/>
    <mergeCell ref="G26:G27"/>
    <mergeCell ref="K24:K25"/>
    <mergeCell ref="I30:I31"/>
    <mergeCell ref="G28:G29"/>
    <mergeCell ref="H28:H29"/>
    <mergeCell ref="G30:G31"/>
    <mergeCell ref="H30:H31"/>
    <mergeCell ref="C28:C29"/>
    <mergeCell ref="D28:D29"/>
    <mergeCell ref="B26:B27"/>
    <mergeCell ref="C26:C27"/>
    <mergeCell ref="D26:D27"/>
    <mergeCell ref="E26:E27"/>
    <mergeCell ref="E28:E29"/>
    <mergeCell ref="C30:C31"/>
    <mergeCell ref="M26:M27"/>
    <mergeCell ref="I26:I27"/>
    <mergeCell ref="J26:J27"/>
    <mergeCell ref="H24:H25"/>
    <mergeCell ref="I24:I25"/>
    <mergeCell ref="J24:J25"/>
    <mergeCell ref="L24:L25"/>
    <mergeCell ref="M24:M25"/>
    <mergeCell ref="D20:D21"/>
    <mergeCell ref="K20:K21"/>
    <mergeCell ref="L20:L21"/>
    <mergeCell ref="E20:E21"/>
    <mergeCell ref="M20:M21"/>
    <mergeCell ref="L22:L23"/>
    <mergeCell ref="M22:M23"/>
    <mergeCell ref="B1:M1"/>
    <mergeCell ref="D3:H3"/>
    <mergeCell ref="B4:C4"/>
    <mergeCell ref="B20:B21"/>
    <mergeCell ref="C20:C21"/>
    <mergeCell ref="G20:G21"/>
    <mergeCell ref="H20:H21"/>
    <mergeCell ref="I20:I21"/>
    <mergeCell ref="J20:J21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L10:L11"/>
    <mergeCell ref="M10:M11"/>
    <mergeCell ref="L12:L13"/>
    <mergeCell ref="M12:M13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L18:L19"/>
    <mergeCell ref="M18:M19"/>
    <mergeCell ref="B18:B19"/>
    <mergeCell ref="C18:C19"/>
    <mergeCell ref="D18:D19"/>
    <mergeCell ref="E18:E19"/>
    <mergeCell ref="G18:G19"/>
    <mergeCell ref="H18:H19"/>
    <mergeCell ref="I18:I19"/>
    <mergeCell ref="J18:J19"/>
    <mergeCell ref="K18:K19"/>
    <mergeCell ref="B22:B23"/>
    <mergeCell ref="C22:C23"/>
    <mergeCell ref="D22:D23"/>
    <mergeCell ref="E22:E23"/>
    <mergeCell ref="G22:G23"/>
    <mergeCell ref="H22:H23"/>
    <mergeCell ref="I22:I23"/>
    <mergeCell ref="J22:J23"/>
    <mergeCell ref="K22:K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3:I30"/>
  <sheetViews>
    <sheetView showGridLines="0" workbookViewId="0">
      <selection activeCell="L7" sqref="L7"/>
    </sheetView>
  </sheetViews>
  <sheetFormatPr defaultRowHeight="12.75"/>
  <cols>
    <col min="1" max="1" width="11.5703125" customWidth="1"/>
    <col min="2" max="3" width="4.85546875" customWidth="1"/>
    <col min="4" max="4" width="10.140625" customWidth="1"/>
    <col min="5" max="5" width="12" customWidth="1"/>
    <col min="6" max="6" width="12.28515625" customWidth="1"/>
    <col min="7" max="7" width="10.85546875" customWidth="1"/>
    <col min="8" max="8" width="10" customWidth="1"/>
    <col min="9" max="9" width="4.140625" customWidth="1"/>
  </cols>
  <sheetData>
    <row r="3" spans="2:9">
      <c r="I3" s="67"/>
    </row>
    <row r="4" spans="2:9" ht="16.5" customHeight="1">
      <c r="B4" s="295" t="s">
        <v>170</v>
      </c>
      <c r="C4" s="295"/>
      <c r="D4" s="295"/>
      <c r="E4" s="295"/>
      <c r="F4" s="295"/>
      <c r="G4" s="295"/>
      <c r="H4" s="295"/>
      <c r="I4" s="295"/>
    </row>
    <row r="6" spans="2:9" ht="14.25">
      <c r="C6" s="68" t="s">
        <v>127</v>
      </c>
      <c r="D6" s="69" t="s">
        <v>162</v>
      </c>
      <c r="E6" s="69" t="s">
        <v>171</v>
      </c>
      <c r="F6" s="50" t="s">
        <v>172</v>
      </c>
      <c r="G6" s="50" t="s">
        <v>173</v>
      </c>
      <c r="H6" s="50" t="s">
        <v>174</v>
      </c>
    </row>
    <row r="7" spans="2:9">
      <c r="C7" s="296" t="s">
        <v>175</v>
      </c>
      <c r="D7" s="297"/>
      <c r="E7" s="297"/>
      <c r="F7" s="297"/>
      <c r="G7" s="297"/>
      <c r="H7" s="298"/>
    </row>
    <row r="8" spans="2:9">
      <c r="C8" s="68"/>
      <c r="D8" s="70">
        <v>0</v>
      </c>
      <c r="E8" s="71">
        <v>393</v>
      </c>
      <c r="F8" s="72">
        <f>E8-D8</f>
        <v>393</v>
      </c>
      <c r="G8" s="72">
        <v>0.2</v>
      </c>
      <c r="H8" s="72">
        <f>F8*G8</f>
        <v>78.599999999999994</v>
      </c>
    </row>
    <row r="9" spans="2:9" ht="13.5" thickBot="1">
      <c r="C9" s="73"/>
      <c r="D9" s="74"/>
      <c r="E9" s="74"/>
      <c r="F9" s="72">
        <f>E9-D9</f>
        <v>0</v>
      </c>
      <c r="G9" s="72">
        <v>0.2</v>
      </c>
      <c r="H9" s="72">
        <f>F9*G9</f>
        <v>0</v>
      </c>
    </row>
    <row r="10" spans="2:9" ht="14.25" thickTop="1" thickBot="1">
      <c r="C10" s="293" t="s">
        <v>176</v>
      </c>
      <c r="D10" s="293"/>
      <c r="E10" s="293"/>
      <c r="F10" s="76">
        <f>SUM(F8:F9)</f>
        <v>393</v>
      </c>
      <c r="G10" s="77"/>
      <c r="H10" s="76">
        <f>SUM(H8:H9)</f>
        <v>78.599999999999994</v>
      </c>
      <c r="I10" s="75"/>
    </row>
    <row r="11" spans="2:9" ht="13.5" thickTop="1">
      <c r="C11" s="299" t="s">
        <v>177</v>
      </c>
      <c r="D11" s="300"/>
      <c r="E11" s="300"/>
      <c r="F11" s="300"/>
      <c r="G11" s="300"/>
      <c r="H11" s="301"/>
      <c r="I11" s="75"/>
    </row>
    <row r="12" spans="2:9" ht="14.25">
      <c r="C12" s="68" t="s">
        <v>127</v>
      </c>
      <c r="D12" s="69" t="s">
        <v>162</v>
      </c>
      <c r="E12" s="69" t="s">
        <v>171</v>
      </c>
      <c r="F12" s="50" t="s">
        <v>172</v>
      </c>
      <c r="G12" s="50" t="s">
        <v>173</v>
      </c>
      <c r="H12" s="50" t="s">
        <v>174</v>
      </c>
    </row>
    <row r="13" spans="2:9">
      <c r="C13" s="68">
        <v>1</v>
      </c>
      <c r="D13" s="71">
        <v>0</v>
      </c>
      <c r="E13" s="71">
        <f>427+84</f>
        <v>511</v>
      </c>
      <c r="F13" s="72">
        <f>E13-D13</f>
        <v>511</v>
      </c>
      <c r="G13" s="72">
        <v>0.2</v>
      </c>
      <c r="H13" s="72">
        <f>F13*G13</f>
        <v>102.2</v>
      </c>
    </row>
    <row r="14" spans="2:9">
      <c r="C14" s="73">
        <v>2</v>
      </c>
      <c r="D14" s="74"/>
      <c r="E14" s="74"/>
      <c r="F14" s="72">
        <v>0</v>
      </c>
      <c r="G14" s="72">
        <v>0.3</v>
      </c>
      <c r="H14" s="72">
        <f>F14*G14</f>
        <v>0</v>
      </c>
    </row>
    <row r="15" spans="2:9" ht="13.5" thickBot="1">
      <c r="C15" s="73">
        <v>3</v>
      </c>
      <c r="D15" s="74"/>
      <c r="E15" s="74"/>
      <c r="F15" s="72">
        <f>E15-D15</f>
        <v>0</v>
      </c>
      <c r="G15" s="72">
        <v>0.2</v>
      </c>
      <c r="H15" s="72">
        <f>F15*G15</f>
        <v>0</v>
      </c>
    </row>
    <row r="16" spans="2:9" ht="14.25" thickTop="1" thickBot="1">
      <c r="C16" s="293" t="s">
        <v>178</v>
      </c>
      <c r="D16" s="293"/>
      <c r="E16" s="293"/>
      <c r="F16" s="76">
        <f>SUM(F13:F15)</f>
        <v>511</v>
      </c>
      <c r="G16" s="77"/>
      <c r="H16" s="76">
        <f>SUM(H13:H15)</f>
        <v>102.2</v>
      </c>
    </row>
    <row r="17" spans="3:8" ht="14.25" thickTop="1" thickBot="1">
      <c r="C17" s="302"/>
      <c r="D17" s="302"/>
      <c r="E17" s="302"/>
      <c r="F17" s="302"/>
      <c r="G17" s="302"/>
      <c r="H17" s="302"/>
    </row>
    <row r="18" spans="3:8" ht="14.25" thickTop="1" thickBot="1">
      <c r="C18" s="293" t="s">
        <v>179</v>
      </c>
      <c r="D18" s="293"/>
      <c r="E18" s="293"/>
      <c r="F18" s="76">
        <f>F10+F16</f>
        <v>904</v>
      </c>
      <c r="G18" s="77"/>
      <c r="H18" s="76">
        <f>H10+H16</f>
        <v>180.8</v>
      </c>
    </row>
    <row r="19" spans="3:8" ht="13.5" thickTop="1">
      <c r="D19" s="78"/>
      <c r="E19" s="78"/>
      <c r="F19" s="79"/>
      <c r="G19" s="79"/>
      <c r="H19" s="79"/>
    </row>
    <row r="20" spans="3:8">
      <c r="D20" s="78"/>
      <c r="E20" s="78"/>
      <c r="F20" s="79"/>
      <c r="G20" s="79"/>
      <c r="H20" s="79"/>
    </row>
    <row r="21" spans="3:8">
      <c r="C21" s="294"/>
      <c r="D21" s="294"/>
      <c r="E21" s="294"/>
      <c r="F21" s="294"/>
      <c r="G21" s="294"/>
      <c r="H21" s="294"/>
    </row>
    <row r="22" spans="3:8">
      <c r="D22" s="78"/>
      <c r="E22" s="78"/>
      <c r="F22" s="79"/>
      <c r="G22" s="79"/>
      <c r="H22" s="79"/>
    </row>
    <row r="23" spans="3:8">
      <c r="D23" s="80"/>
      <c r="E23" s="80"/>
      <c r="F23" s="81"/>
      <c r="G23" s="75"/>
      <c r="H23" s="75"/>
    </row>
    <row r="24" spans="3:8">
      <c r="D24" s="80"/>
      <c r="E24" s="80"/>
      <c r="F24" s="81"/>
      <c r="G24" s="75"/>
      <c r="H24" s="75"/>
    </row>
    <row r="25" spans="3:8">
      <c r="D25" s="80"/>
      <c r="E25" s="80"/>
      <c r="F25" s="81"/>
      <c r="G25" s="75"/>
      <c r="H25" s="75"/>
    </row>
    <row r="26" spans="3:8">
      <c r="D26" s="82"/>
      <c r="E26" s="82"/>
      <c r="F26" s="81"/>
    </row>
    <row r="27" spans="3:8">
      <c r="F27" s="81"/>
    </row>
    <row r="28" spans="3:8">
      <c r="F28" s="81"/>
    </row>
    <row r="29" spans="3:8">
      <c r="F29" s="81"/>
    </row>
    <row r="30" spans="3:8">
      <c r="F30" s="81"/>
    </row>
  </sheetData>
  <sheetProtection password="CAC3" sheet="1" objects="1" scenarios="1"/>
  <mergeCells count="8">
    <mergeCell ref="C18:E18"/>
    <mergeCell ref="C21:H21"/>
    <mergeCell ref="B4:I4"/>
    <mergeCell ref="C7:H7"/>
    <mergeCell ref="C10:E10"/>
    <mergeCell ref="C11:H11"/>
    <mergeCell ref="C16:E16"/>
    <mergeCell ref="C17:H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showGridLines="0" workbookViewId="0">
      <selection activeCell="L31" sqref="L31"/>
    </sheetView>
  </sheetViews>
  <sheetFormatPr defaultRowHeight="12.75"/>
  <cols>
    <col min="1" max="1" width="4.140625" style="83" customWidth="1"/>
    <col min="2" max="2" width="9.7109375" style="83" customWidth="1"/>
    <col min="3" max="3" width="11.140625" style="83" customWidth="1"/>
    <col min="4" max="4" width="4.7109375" style="83" customWidth="1"/>
    <col min="5" max="5" width="9.7109375" style="83" customWidth="1"/>
    <col min="6" max="7" width="8.28515625" style="83" customWidth="1"/>
    <col min="8" max="9" width="8.85546875" style="83" customWidth="1"/>
    <col min="10" max="10" width="8" style="83" customWidth="1"/>
    <col min="11" max="11" width="8.85546875" style="83" customWidth="1"/>
    <col min="12" max="13" width="9" style="83" customWidth="1"/>
    <col min="14" max="14" width="6.7109375" style="83" customWidth="1"/>
    <col min="15" max="15" width="5" style="83" customWidth="1"/>
    <col min="16" max="16" width="6.5703125" style="83" customWidth="1"/>
    <col min="17" max="17" width="7" style="83" customWidth="1"/>
    <col min="18" max="18" width="10.7109375" style="83" customWidth="1"/>
    <col min="19" max="16384" width="9.140625" style="83"/>
  </cols>
  <sheetData>
    <row r="1" spans="2:19" ht="15" customHeight="1">
      <c r="B1" s="303" t="s">
        <v>180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2:19" ht="21" customHeight="1"/>
    <row r="3" spans="2:19" ht="21" customHeight="1"/>
    <row r="4" spans="2:19" s="84" customFormat="1" ht="90.75" customHeight="1">
      <c r="B4" s="85" t="s">
        <v>181</v>
      </c>
      <c r="C4" s="85" t="s">
        <v>211</v>
      </c>
      <c r="D4" s="85" t="s">
        <v>182</v>
      </c>
      <c r="E4" s="85" t="s">
        <v>272</v>
      </c>
      <c r="F4" s="85" t="s">
        <v>183</v>
      </c>
      <c r="G4" s="85" t="s">
        <v>225</v>
      </c>
      <c r="H4" s="85" t="s">
        <v>269</v>
      </c>
      <c r="I4" s="85" t="s">
        <v>271</v>
      </c>
      <c r="J4" s="85" t="s">
        <v>184</v>
      </c>
      <c r="K4" s="85" t="s">
        <v>185</v>
      </c>
      <c r="L4" s="85" t="s">
        <v>273</v>
      </c>
      <c r="M4" s="85" t="s">
        <v>186</v>
      </c>
      <c r="N4" s="304" t="s">
        <v>187</v>
      </c>
      <c r="O4" s="305"/>
      <c r="P4" s="304" t="s">
        <v>188</v>
      </c>
      <c r="Q4" s="305"/>
      <c r="R4" s="304" t="s">
        <v>189</v>
      </c>
      <c r="S4" s="305"/>
    </row>
    <row r="5" spans="2:19" ht="42.75" customHeight="1">
      <c r="B5" s="86"/>
      <c r="C5" s="86"/>
      <c r="D5" s="86"/>
      <c r="E5" s="86"/>
      <c r="F5" s="86"/>
      <c r="G5" s="86"/>
      <c r="H5" s="86"/>
      <c r="I5" s="86"/>
      <c r="J5" s="86"/>
      <c r="K5" s="86" t="s">
        <v>190</v>
      </c>
      <c r="L5" s="86" t="s">
        <v>190</v>
      </c>
      <c r="M5" s="86" t="s">
        <v>190</v>
      </c>
      <c r="N5" s="86" t="s">
        <v>191</v>
      </c>
      <c r="O5" s="86" t="s">
        <v>192</v>
      </c>
      <c r="P5" s="86" t="s">
        <v>191</v>
      </c>
      <c r="Q5" s="86" t="s">
        <v>192</v>
      </c>
      <c r="R5" s="86" t="s">
        <v>191</v>
      </c>
      <c r="S5" s="86" t="s">
        <v>192</v>
      </c>
    </row>
    <row r="6" spans="2:19">
      <c r="B6" s="87" t="s">
        <v>12</v>
      </c>
      <c r="C6" s="87"/>
      <c r="D6" s="87"/>
      <c r="E6" s="87" t="s">
        <v>113</v>
      </c>
      <c r="F6" s="87"/>
      <c r="G6" s="87"/>
      <c r="H6" s="87" t="s">
        <v>137</v>
      </c>
      <c r="I6" s="87" t="s">
        <v>137</v>
      </c>
      <c r="J6" s="87" t="s">
        <v>21</v>
      </c>
      <c r="K6" s="87" t="s">
        <v>12</v>
      </c>
      <c r="L6" s="87" t="s">
        <v>12</v>
      </c>
      <c r="M6" s="87" t="s">
        <v>12</v>
      </c>
      <c r="N6" s="87" t="s">
        <v>12</v>
      </c>
      <c r="O6" s="87" t="s">
        <v>12</v>
      </c>
      <c r="P6" s="87" t="s">
        <v>12</v>
      </c>
      <c r="Q6" s="87" t="s">
        <v>12</v>
      </c>
      <c r="R6" s="87" t="s">
        <v>12</v>
      </c>
      <c r="S6" s="87" t="s">
        <v>12</v>
      </c>
    </row>
    <row r="7" spans="2:19">
      <c r="B7" s="239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2:19">
      <c r="B8" s="127">
        <v>38</v>
      </c>
      <c r="C8" s="127" t="s">
        <v>202</v>
      </c>
      <c r="D8" s="125" t="s">
        <v>194</v>
      </c>
      <c r="E8" s="125"/>
      <c r="F8" s="125"/>
      <c r="G8" s="125"/>
      <c r="H8" s="125"/>
      <c r="I8" s="125">
        <v>1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>
      <c r="B9" s="127">
        <v>77</v>
      </c>
      <c r="C9" s="127" t="s">
        <v>202</v>
      </c>
      <c r="D9" s="125" t="s">
        <v>226</v>
      </c>
      <c r="E9" s="125"/>
      <c r="F9" s="125"/>
      <c r="G9" s="125"/>
      <c r="H9" s="125"/>
      <c r="I9" s="125">
        <v>2</v>
      </c>
      <c r="J9" s="125"/>
      <c r="K9" s="125"/>
      <c r="L9" s="125"/>
      <c r="M9" s="125"/>
      <c r="N9" s="125"/>
      <c r="O9" s="125"/>
      <c r="P9" s="125"/>
      <c r="Q9" s="125"/>
      <c r="R9" s="125">
        <v>6</v>
      </c>
      <c r="S9" s="125"/>
    </row>
    <row r="10" spans="2:19">
      <c r="B10" s="127">
        <v>98</v>
      </c>
      <c r="C10" s="127" t="s">
        <v>202</v>
      </c>
      <c r="D10" s="125" t="s">
        <v>226</v>
      </c>
      <c r="E10" s="125"/>
      <c r="F10" s="125"/>
      <c r="G10" s="125"/>
      <c r="H10" s="125"/>
      <c r="I10" s="125">
        <v>2</v>
      </c>
      <c r="J10" s="125"/>
      <c r="K10" s="125"/>
      <c r="L10" s="125"/>
      <c r="M10" s="125"/>
      <c r="N10" s="125"/>
      <c r="O10" s="125"/>
      <c r="P10" s="125"/>
      <c r="Q10" s="125"/>
      <c r="R10" s="125">
        <v>7</v>
      </c>
      <c r="S10" s="125"/>
    </row>
    <row r="11" spans="2:19">
      <c r="B11" s="127">
        <v>119</v>
      </c>
      <c r="C11" s="127" t="s">
        <v>202</v>
      </c>
      <c r="D11" s="125" t="s">
        <v>194</v>
      </c>
      <c r="E11" s="125">
        <v>1</v>
      </c>
      <c r="F11" s="125"/>
      <c r="G11" s="125"/>
      <c r="H11" s="125"/>
      <c r="I11" s="125">
        <v>1</v>
      </c>
      <c r="J11" s="125"/>
      <c r="K11" s="125"/>
      <c r="L11" s="125"/>
      <c r="M11" s="125"/>
      <c r="N11" s="125"/>
      <c r="O11" s="125"/>
      <c r="P11" s="125"/>
      <c r="Q11" s="125"/>
      <c r="R11" s="125">
        <v>3</v>
      </c>
      <c r="S11" s="125"/>
    </row>
    <row r="12" spans="2:19">
      <c r="B12" s="127">
        <v>143</v>
      </c>
      <c r="C12" s="127" t="s">
        <v>202</v>
      </c>
      <c r="D12" s="125" t="s">
        <v>194</v>
      </c>
      <c r="E12" s="125">
        <v>1</v>
      </c>
      <c r="F12" s="125"/>
      <c r="G12" s="125"/>
      <c r="H12" s="125"/>
      <c r="I12" s="125"/>
      <c r="J12" s="125"/>
      <c r="K12" s="125"/>
      <c r="L12" s="125">
        <v>23</v>
      </c>
      <c r="M12" s="125"/>
      <c r="N12" s="125"/>
      <c r="O12" s="125"/>
      <c r="P12" s="125"/>
      <c r="Q12" s="125"/>
      <c r="R12" s="125"/>
      <c r="S12" s="125"/>
    </row>
    <row r="13" spans="2:19">
      <c r="B13" s="127">
        <v>144</v>
      </c>
      <c r="C13" s="127" t="s">
        <v>202</v>
      </c>
      <c r="D13" s="125" t="s">
        <v>226</v>
      </c>
      <c r="E13" s="125"/>
      <c r="F13" s="125"/>
      <c r="G13" s="125"/>
      <c r="H13" s="125"/>
      <c r="I13" s="125">
        <v>2</v>
      </c>
      <c r="J13" s="125"/>
      <c r="K13" s="125"/>
      <c r="L13" s="125"/>
      <c r="M13" s="125"/>
      <c r="N13" s="125"/>
      <c r="O13" s="125"/>
      <c r="P13" s="125"/>
      <c r="Q13" s="125"/>
      <c r="R13" s="125">
        <v>9</v>
      </c>
      <c r="S13" s="125"/>
    </row>
    <row r="14" spans="2:19">
      <c r="B14" s="127">
        <v>157</v>
      </c>
      <c r="C14" s="127" t="s">
        <v>202</v>
      </c>
      <c r="D14" s="125" t="s">
        <v>194</v>
      </c>
      <c r="E14" s="125">
        <v>1</v>
      </c>
      <c r="F14" s="125"/>
      <c r="G14" s="125"/>
      <c r="H14" s="125"/>
      <c r="I14" s="125"/>
      <c r="J14" s="125"/>
      <c r="K14" s="125"/>
      <c r="L14" s="125">
        <v>14</v>
      </c>
      <c r="M14" s="125"/>
      <c r="N14" s="125"/>
      <c r="O14" s="125"/>
      <c r="P14" s="125"/>
      <c r="Q14" s="125"/>
      <c r="R14" s="125">
        <v>1</v>
      </c>
      <c r="S14" s="125"/>
    </row>
    <row r="15" spans="2:19">
      <c r="B15" s="127">
        <v>159</v>
      </c>
      <c r="C15" s="127" t="s">
        <v>202</v>
      </c>
      <c r="D15" s="125" t="s">
        <v>226</v>
      </c>
      <c r="E15" s="125"/>
      <c r="F15" s="125"/>
      <c r="G15" s="125"/>
      <c r="H15" s="125"/>
      <c r="I15" s="125">
        <v>2</v>
      </c>
      <c r="J15" s="125"/>
      <c r="K15" s="125"/>
      <c r="L15" s="125"/>
      <c r="M15" s="125"/>
      <c r="N15" s="125"/>
      <c r="O15" s="125"/>
      <c r="P15" s="125"/>
      <c r="Q15" s="125"/>
      <c r="R15" s="125">
        <v>8</v>
      </c>
      <c r="S15" s="125"/>
    </row>
    <row r="16" spans="2:19">
      <c r="B16" s="127">
        <v>172</v>
      </c>
      <c r="C16" s="127" t="s">
        <v>202</v>
      </c>
      <c r="D16" s="125" t="s">
        <v>194</v>
      </c>
      <c r="E16" s="125">
        <v>1</v>
      </c>
      <c r="F16" s="125"/>
      <c r="G16" s="125"/>
      <c r="H16" s="125"/>
      <c r="I16" s="125">
        <v>1</v>
      </c>
      <c r="J16" s="125"/>
      <c r="K16" s="125"/>
      <c r="L16" s="125">
        <v>15</v>
      </c>
      <c r="M16" s="125"/>
      <c r="N16" s="125"/>
      <c r="O16" s="125"/>
      <c r="P16" s="125"/>
      <c r="Q16" s="125"/>
      <c r="R16" s="125">
        <v>1</v>
      </c>
      <c r="S16" s="125"/>
    </row>
    <row r="17" spans="2:19">
      <c r="B17" s="127">
        <v>195</v>
      </c>
      <c r="C17" s="127" t="s">
        <v>207</v>
      </c>
      <c r="D17" s="125" t="s">
        <v>193</v>
      </c>
      <c r="E17" s="125"/>
      <c r="F17" s="125">
        <v>1</v>
      </c>
      <c r="G17" s="125"/>
      <c r="H17" s="125">
        <v>1</v>
      </c>
      <c r="I17" s="125"/>
      <c r="J17" s="125"/>
      <c r="K17" s="125">
        <v>10</v>
      </c>
      <c r="L17" s="125"/>
      <c r="M17" s="125"/>
      <c r="N17" s="125"/>
      <c r="O17" s="125"/>
      <c r="P17" s="125"/>
      <c r="Q17" s="125"/>
      <c r="R17" s="125">
        <v>3</v>
      </c>
      <c r="S17" s="125"/>
    </row>
    <row r="18" spans="2:19">
      <c r="B18" s="127">
        <v>215</v>
      </c>
      <c r="C18" s="127" t="s">
        <v>207</v>
      </c>
      <c r="D18" s="125" t="s">
        <v>226</v>
      </c>
      <c r="E18" s="125">
        <v>1</v>
      </c>
      <c r="F18" s="125"/>
      <c r="G18" s="125"/>
      <c r="H18" s="125">
        <v>2</v>
      </c>
      <c r="I18" s="125"/>
      <c r="J18" s="125"/>
      <c r="K18" s="125">
        <v>20</v>
      </c>
      <c r="L18" s="125"/>
      <c r="M18" s="125"/>
      <c r="N18" s="125"/>
      <c r="O18" s="125"/>
      <c r="P18" s="125"/>
      <c r="Q18" s="125"/>
      <c r="R18" s="125">
        <v>8</v>
      </c>
      <c r="S18" s="125"/>
    </row>
    <row r="19" spans="2:19">
      <c r="B19" s="127">
        <v>248</v>
      </c>
      <c r="C19" s="88" t="s">
        <v>207</v>
      </c>
      <c r="D19" s="125" t="s">
        <v>226</v>
      </c>
      <c r="E19" s="125"/>
      <c r="F19" s="125">
        <v>2</v>
      </c>
      <c r="G19" s="125"/>
      <c r="H19" s="125"/>
      <c r="I19" s="125"/>
      <c r="J19" s="125"/>
      <c r="K19" s="125">
        <f>33+8</f>
        <v>41</v>
      </c>
      <c r="L19" s="125"/>
      <c r="M19" s="125"/>
      <c r="N19" s="125"/>
      <c r="O19" s="125"/>
      <c r="P19" s="125"/>
      <c r="Q19" s="125"/>
      <c r="R19" s="125"/>
      <c r="S19" s="125"/>
    </row>
    <row r="20" spans="2:19">
      <c r="B20" s="127">
        <v>262</v>
      </c>
      <c r="C20" s="88" t="s">
        <v>207</v>
      </c>
      <c r="D20" s="125" t="s">
        <v>193</v>
      </c>
      <c r="E20" s="125"/>
      <c r="F20" s="125"/>
      <c r="G20" s="125">
        <v>1</v>
      </c>
      <c r="H20" s="125"/>
      <c r="I20" s="125"/>
      <c r="J20" s="125"/>
      <c r="K20" s="125"/>
      <c r="L20" s="125"/>
      <c r="M20" s="125">
        <v>14</v>
      </c>
      <c r="N20" s="125"/>
      <c r="O20" s="125"/>
      <c r="P20" s="125"/>
      <c r="Q20" s="125"/>
      <c r="R20" s="125"/>
      <c r="S20" s="125"/>
    </row>
    <row r="21" spans="2:19">
      <c r="B21" s="127">
        <v>264</v>
      </c>
      <c r="C21" s="88" t="s">
        <v>207</v>
      </c>
      <c r="D21" s="125" t="s">
        <v>193</v>
      </c>
      <c r="E21" s="125"/>
      <c r="F21" s="125"/>
      <c r="G21" s="125"/>
      <c r="H21" s="125">
        <v>1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>
        <v>3</v>
      </c>
      <c r="S21" s="125"/>
    </row>
    <row r="22" spans="2:19">
      <c r="B22" s="127">
        <v>266</v>
      </c>
      <c r="C22" s="88" t="s">
        <v>207</v>
      </c>
      <c r="D22" s="125" t="s">
        <v>194</v>
      </c>
      <c r="E22" s="125">
        <v>1</v>
      </c>
      <c r="F22" s="125"/>
      <c r="G22" s="125"/>
      <c r="H22" s="125">
        <v>1</v>
      </c>
      <c r="I22" s="125"/>
      <c r="J22" s="125"/>
      <c r="K22" s="125"/>
      <c r="L22" s="125">
        <v>19</v>
      </c>
      <c r="M22" s="125"/>
      <c r="N22" s="125"/>
      <c r="O22" s="125"/>
      <c r="P22" s="125"/>
      <c r="Q22" s="125"/>
      <c r="R22" s="125">
        <v>3</v>
      </c>
      <c r="S22" s="125"/>
    </row>
    <row r="23" spans="2:19">
      <c r="B23" s="127">
        <v>305</v>
      </c>
      <c r="C23" s="88" t="s">
        <v>207</v>
      </c>
      <c r="D23" s="125" t="s">
        <v>193</v>
      </c>
      <c r="E23" s="125"/>
      <c r="F23" s="125"/>
      <c r="G23" s="125">
        <v>1</v>
      </c>
      <c r="H23" s="125"/>
      <c r="I23" s="125"/>
      <c r="J23" s="125"/>
      <c r="K23" s="125"/>
      <c r="L23" s="125"/>
      <c r="M23" s="125">
        <v>43</v>
      </c>
      <c r="N23" s="125"/>
      <c r="O23" s="125"/>
      <c r="P23" s="125"/>
      <c r="Q23" s="125"/>
      <c r="R23" s="125"/>
      <c r="S23" s="125"/>
    </row>
    <row r="24" spans="2:19">
      <c r="B24" s="127">
        <v>308</v>
      </c>
      <c r="C24" s="127" t="s">
        <v>207</v>
      </c>
      <c r="D24" s="125" t="s">
        <v>226</v>
      </c>
      <c r="E24" s="125"/>
      <c r="F24" s="125"/>
      <c r="G24" s="125"/>
      <c r="H24" s="125">
        <v>2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>
        <v>7</v>
      </c>
      <c r="S24" s="125"/>
    </row>
    <row r="25" spans="2:19">
      <c r="B25" s="127">
        <v>512</v>
      </c>
      <c r="C25" s="127" t="s">
        <v>207</v>
      </c>
      <c r="D25" s="125" t="s">
        <v>194</v>
      </c>
      <c r="E25" s="125"/>
      <c r="F25" s="125"/>
      <c r="G25" s="125"/>
      <c r="H25" s="125"/>
      <c r="I25" s="125">
        <v>1</v>
      </c>
      <c r="J25" s="125"/>
      <c r="K25" s="125"/>
      <c r="L25" s="125"/>
      <c r="M25" s="125"/>
      <c r="N25" s="125"/>
      <c r="O25" s="125"/>
      <c r="P25" s="125"/>
      <c r="Q25" s="125"/>
      <c r="R25" s="125">
        <v>20</v>
      </c>
      <c r="S25" s="125"/>
    </row>
    <row r="26" spans="2:19" ht="15">
      <c r="B26" s="89"/>
      <c r="C26" s="89"/>
      <c r="E26" s="90">
        <f t="shared" ref="E26:S26" si="0">SUM(E7:E25)</f>
        <v>6</v>
      </c>
      <c r="F26" s="90">
        <f t="shared" si="0"/>
        <v>3</v>
      </c>
      <c r="G26" s="90">
        <f t="shared" si="0"/>
        <v>2</v>
      </c>
      <c r="H26" s="90">
        <f t="shared" si="0"/>
        <v>7</v>
      </c>
      <c r="I26" s="90">
        <f t="shared" si="0"/>
        <v>12</v>
      </c>
      <c r="J26" s="90">
        <f t="shared" si="0"/>
        <v>0</v>
      </c>
      <c r="K26" s="90">
        <f t="shared" si="0"/>
        <v>71</v>
      </c>
      <c r="L26" s="90">
        <f t="shared" si="0"/>
        <v>71</v>
      </c>
      <c r="M26" s="90">
        <f t="shared" si="0"/>
        <v>57</v>
      </c>
      <c r="N26" s="90">
        <f t="shared" si="0"/>
        <v>0</v>
      </c>
      <c r="O26" s="90">
        <f t="shared" si="0"/>
        <v>0</v>
      </c>
      <c r="P26" s="90">
        <f t="shared" si="0"/>
        <v>0</v>
      </c>
      <c r="Q26" s="90">
        <f t="shared" si="0"/>
        <v>0</v>
      </c>
      <c r="R26" s="90">
        <f t="shared" si="0"/>
        <v>79</v>
      </c>
      <c r="S26" s="90">
        <f t="shared" si="0"/>
        <v>0</v>
      </c>
    </row>
    <row r="27" spans="2:19">
      <c r="B27" s="89"/>
      <c r="C27" s="89"/>
    </row>
    <row r="28" spans="2:19">
      <c r="B28" s="89"/>
      <c r="C28" s="89"/>
    </row>
    <row r="29" spans="2:19">
      <c r="H29" s="89"/>
    </row>
  </sheetData>
  <sheetProtection password="CAC3" sheet="1" objects="1" scenarios="1"/>
  <mergeCells count="4">
    <mergeCell ref="B1:Q1"/>
    <mergeCell ref="N4:O4"/>
    <mergeCell ref="P4:Q4"/>
    <mergeCell ref="R4:S4"/>
  </mergeCells>
  <phoneticPr fontId="2" type="noConversion"/>
  <pageMargins left="0.75" right="0.75" top="1" bottom="1" header="0.5" footer="0.5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1"/>
  <sheetViews>
    <sheetView showGridLines="0" workbookViewId="0">
      <selection activeCell="D10" sqref="D10:D11"/>
    </sheetView>
  </sheetViews>
  <sheetFormatPr defaultRowHeight="12.75"/>
  <cols>
    <col min="6" max="6" width="12.140625" customWidth="1"/>
    <col min="7" max="7" width="12" customWidth="1"/>
    <col min="8" max="8" width="11.42578125" customWidth="1"/>
    <col min="9" max="9" width="13.140625" customWidth="1"/>
    <col min="10" max="10" width="11.28515625" customWidth="1"/>
  </cols>
  <sheetData>
    <row r="3" spans="2:10" ht="15">
      <c r="B3" s="306" t="s">
        <v>199</v>
      </c>
      <c r="C3" s="306"/>
      <c r="D3" s="306"/>
      <c r="E3" s="306"/>
      <c r="F3" s="306"/>
      <c r="G3" s="306"/>
      <c r="H3" s="306"/>
      <c r="I3" s="306"/>
      <c r="J3" s="306"/>
    </row>
    <row r="4" spans="2:10">
      <c r="C4" s="65"/>
      <c r="D4" s="65"/>
      <c r="E4" s="65"/>
      <c r="F4" s="65"/>
      <c r="G4" s="65"/>
      <c r="H4" s="65"/>
      <c r="I4" s="65"/>
      <c r="J4" s="65"/>
    </row>
    <row r="5" spans="2:10">
      <c r="C5" s="65"/>
      <c r="D5" s="65"/>
      <c r="E5" s="65"/>
      <c r="F5" s="65"/>
      <c r="G5" s="65"/>
      <c r="H5" s="65"/>
      <c r="I5" s="65"/>
      <c r="J5" s="65"/>
    </row>
    <row r="6" spans="2:10" ht="20.25" customHeight="1">
      <c r="C6" s="307"/>
      <c r="D6" s="307"/>
      <c r="E6" s="307"/>
      <c r="F6" s="307"/>
      <c r="G6" s="307"/>
      <c r="H6" s="307"/>
      <c r="I6" s="307"/>
      <c r="J6" s="307"/>
    </row>
    <row r="7" spans="2:10">
      <c r="B7" s="100"/>
      <c r="C7" s="100"/>
      <c r="D7" s="308" t="s">
        <v>219</v>
      </c>
      <c r="E7" s="274"/>
      <c r="F7" s="274"/>
      <c r="G7" s="274"/>
      <c r="H7" s="100"/>
      <c r="I7" s="100"/>
      <c r="J7" s="101"/>
    </row>
    <row r="8" spans="2:10">
      <c r="B8" s="275"/>
      <c r="C8" s="275"/>
      <c r="D8" s="100" t="s">
        <v>132</v>
      </c>
      <c r="E8" s="100" t="s">
        <v>157</v>
      </c>
      <c r="F8" s="101" t="s">
        <v>158</v>
      </c>
      <c r="G8" s="100" t="s">
        <v>134</v>
      </c>
      <c r="H8" s="100" t="s">
        <v>133</v>
      </c>
      <c r="I8" s="100" t="s">
        <v>201</v>
      </c>
      <c r="J8" s="100"/>
    </row>
    <row r="9" spans="2:10" ht="14.25">
      <c r="B9" s="101" t="s">
        <v>162</v>
      </c>
      <c r="C9" s="101" t="s">
        <v>171</v>
      </c>
      <c r="D9" s="58" t="s">
        <v>12</v>
      </c>
      <c r="E9" s="58" t="s">
        <v>12</v>
      </c>
      <c r="F9" s="58" t="s">
        <v>12</v>
      </c>
      <c r="G9" s="58" t="s">
        <v>163</v>
      </c>
      <c r="H9" s="58" t="s">
        <v>163</v>
      </c>
      <c r="I9" s="58" t="s">
        <v>163</v>
      </c>
      <c r="J9" s="58"/>
    </row>
    <row r="10" spans="2:10">
      <c r="B10" s="271">
        <v>28</v>
      </c>
      <c r="C10" s="271">
        <v>80</v>
      </c>
      <c r="D10" s="271">
        <f>C10-B10</f>
        <v>52</v>
      </c>
      <c r="E10" s="60">
        <v>5</v>
      </c>
      <c r="F10" s="269">
        <f>(E11+E10)/2</f>
        <v>5</v>
      </c>
      <c r="G10" s="269">
        <f>D10*F10</f>
        <v>260</v>
      </c>
      <c r="H10" s="269">
        <f>'T6 ścieralna'!H10:H11</f>
        <v>85.48</v>
      </c>
      <c r="I10" s="269">
        <f>G10+H10</f>
        <v>345.48</v>
      </c>
      <c r="J10" s="286" t="s">
        <v>202</v>
      </c>
    </row>
    <row r="11" spans="2:10">
      <c r="B11" s="272"/>
      <c r="C11" s="272"/>
      <c r="D11" s="272"/>
      <c r="E11" s="60">
        <v>5</v>
      </c>
      <c r="F11" s="270"/>
      <c r="G11" s="270"/>
      <c r="H11" s="270"/>
      <c r="I11" s="270"/>
      <c r="J11" s="272"/>
    </row>
    <row r="12" spans="2:10">
      <c r="B12" s="271">
        <v>80</v>
      </c>
      <c r="C12" s="271">
        <v>100</v>
      </c>
      <c r="D12" s="271">
        <f>C12-B12</f>
        <v>20</v>
      </c>
      <c r="E12" s="60">
        <v>5</v>
      </c>
      <c r="F12" s="269">
        <f>(E13+E12)/2</f>
        <v>5.5</v>
      </c>
      <c r="G12" s="269">
        <f>D12*F12</f>
        <v>110</v>
      </c>
      <c r="H12" s="269">
        <f>'T6 ścieralna'!H12:H13</f>
        <v>0</v>
      </c>
      <c r="I12" s="269">
        <f>G12+H12</f>
        <v>110</v>
      </c>
      <c r="J12" s="286" t="s">
        <v>202</v>
      </c>
    </row>
    <row r="13" spans="2:10">
      <c r="B13" s="272"/>
      <c r="C13" s="272"/>
      <c r="D13" s="272"/>
      <c r="E13" s="60">
        <v>6</v>
      </c>
      <c r="F13" s="270"/>
      <c r="G13" s="270"/>
      <c r="H13" s="270"/>
      <c r="I13" s="270"/>
      <c r="J13" s="272"/>
    </row>
    <row r="14" spans="2:10">
      <c r="B14" s="276">
        <v>100</v>
      </c>
      <c r="C14" s="271">
        <v>198</v>
      </c>
      <c r="D14" s="271">
        <f>C14-B14</f>
        <v>98</v>
      </c>
      <c r="E14" s="60">
        <v>6</v>
      </c>
      <c r="F14" s="269">
        <f>(E15+E14)/2</f>
        <v>6</v>
      </c>
      <c r="G14" s="269">
        <f>D14*F14</f>
        <v>588</v>
      </c>
      <c r="H14" s="269">
        <f>'T6 ścieralna'!H14:H15</f>
        <v>0</v>
      </c>
      <c r="I14" s="269">
        <f>G14+H14</f>
        <v>588</v>
      </c>
      <c r="J14" s="286" t="s">
        <v>202</v>
      </c>
    </row>
    <row r="15" spans="2:10">
      <c r="B15" s="272"/>
      <c r="C15" s="272"/>
      <c r="D15" s="272"/>
      <c r="E15" s="60">
        <v>6</v>
      </c>
      <c r="F15" s="270"/>
      <c r="G15" s="270"/>
      <c r="H15" s="270"/>
      <c r="I15" s="270"/>
      <c r="J15" s="272"/>
    </row>
    <row r="16" spans="2:10">
      <c r="B16" s="271"/>
      <c r="C16" s="271"/>
      <c r="D16" s="271"/>
      <c r="E16" s="60"/>
      <c r="F16" s="269"/>
      <c r="G16" s="269"/>
      <c r="H16" s="269"/>
      <c r="I16" s="269"/>
      <c r="J16" s="286"/>
    </row>
    <row r="17" spans="2:10">
      <c r="B17" s="272"/>
      <c r="C17" s="272"/>
      <c r="D17" s="272"/>
      <c r="E17" s="60"/>
      <c r="F17" s="270"/>
      <c r="G17" s="270"/>
      <c r="H17" s="270"/>
      <c r="I17" s="270"/>
      <c r="J17" s="272"/>
    </row>
    <row r="18" spans="2:10">
      <c r="B18" s="271">
        <v>0</v>
      </c>
      <c r="C18" s="271">
        <v>60</v>
      </c>
      <c r="D18" s="271">
        <f>C18-B18</f>
        <v>60</v>
      </c>
      <c r="E18" s="60">
        <v>6</v>
      </c>
      <c r="F18" s="269">
        <f>(E19+E18)/2</f>
        <v>6</v>
      </c>
      <c r="G18" s="269">
        <f>D18*F18</f>
        <v>360</v>
      </c>
      <c r="H18" s="269">
        <f>'T6 ścieralna'!H18:H19</f>
        <v>15.48</v>
      </c>
      <c r="I18" s="269">
        <f>G18+H18</f>
        <v>375.48</v>
      </c>
      <c r="J18" s="286" t="s">
        <v>203</v>
      </c>
    </row>
    <row r="19" spans="2:10">
      <c r="B19" s="272"/>
      <c r="C19" s="272"/>
      <c r="D19" s="272"/>
      <c r="E19" s="60">
        <v>6</v>
      </c>
      <c r="F19" s="270"/>
      <c r="G19" s="270"/>
      <c r="H19" s="270"/>
      <c r="I19" s="270"/>
      <c r="J19" s="272"/>
    </row>
    <row r="20" spans="2:10">
      <c r="B20" s="271">
        <v>60</v>
      </c>
      <c r="C20" s="271">
        <v>83</v>
      </c>
      <c r="D20" s="271">
        <f>C20-B20</f>
        <v>23</v>
      </c>
      <c r="E20" s="60">
        <v>6</v>
      </c>
      <c r="F20" s="269">
        <f>(E21+E20)/2</f>
        <v>5.75</v>
      </c>
      <c r="G20" s="269">
        <f>D20*F20</f>
        <v>132.25</v>
      </c>
      <c r="H20" s="269">
        <f>'T6 ścieralna'!H20:H21</f>
        <v>0</v>
      </c>
      <c r="I20" s="269">
        <f>G20+H20</f>
        <v>132.25</v>
      </c>
      <c r="J20" s="286" t="s">
        <v>203</v>
      </c>
    </row>
    <row r="21" spans="2:10">
      <c r="B21" s="272"/>
      <c r="C21" s="272"/>
      <c r="D21" s="272"/>
      <c r="E21" s="60">
        <v>5.5</v>
      </c>
      <c r="F21" s="270"/>
      <c r="G21" s="270"/>
      <c r="H21" s="270"/>
      <c r="I21" s="270"/>
      <c r="J21" s="272"/>
    </row>
    <row r="22" spans="2:10">
      <c r="B22" s="271">
        <v>83</v>
      </c>
      <c r="C22" s="271">
        <v>110</v>
      </c>
      <c r="D22" s="271">
        <f>C22-B22</f>
        <v>27</v>
      </c>
      <c r="E22" s="60">
        <v>5.5</v>
      </c>
      <c r="F22" s="269">
        <f>(E23+E22)/2</f>
        <v>5.5</v>
      </c>
      <c r="G22" s="269">
        <f>D22*F22</f>
        <v>148.5</v>
      </c>
      <c r="H22" s="269">
        <f>'T6 ścieralna'!H22:H23</f>
        <v>0</v>
      </c>
      <c r="I22" s="269">
        <f>G22+H22</f>
        <v>148.5</v>
      </c>
      <c r="J22" s="286" t="s">
        <v>203</v>
      </c>
    </row>
    <row r="23" spans="2:10">
      <c r="B23" s="272"/>
      <c r="C23" s="272"/>
      <c r="D23" s="272"/>
      <c r="E23" s="60">
        <v>5.5</v>
      </c>
      <c r="F23" s="270"/>
      <c r="G23" s="270"/>
      <c r="H23" s="270"/>
      <c r="I23" s="270"/>
      <c r="J23" s="272"/>
    </row>
    <row r="24" spans="2:10">
      <c r="B24" s="271">
        <v>110</v>
      </c>
      <c r="C24" s="271">
        <v>130</v>
      </c>
      <c r="D24" s="271">
        <f>C24-B24</f>
        <v>20</v>
      </c>
      <c r="E24" s="60">
        <v>5.5</v>
      </c>
      <c r="F24" s="269">
        <f>(E25+E24)/2</f>
        <v>5.75</v>
      </c>
      <c r="G24" s="269">
        <f>D24*F24</f>
        <v>115</v>
      </c>
      <c r="H24" s="269">
        <f>'T6 ścieralna'!H24:H25</f>
        <v>0</v>
      </c>
      <c r="I24" s="269">
        <f>G24+H24</f>
        <v>115</v>
      </c>
      <c r="J24" s="286" t="s">
        <v>203</v>
      </c>
    </row>
    <row r="25" spans="2:10">
      <c r="B25" s="272"/>
      <c r="C25" s="272"/>
      <c r="D25" s="272"/>
      <c r="E25" s="60">
        <v>6</v>
      </c>
      <c r="F25" s="270"/>
      <c r="G25" s="270"/>
      <c r="H25" s="270"/>
      <c r="I25" s="270"/>
      <c r="J25" s="272"/>
    </row>
    <row r="26" spans="2:10">
      <c r="B26" s="271">
        <v>130</v>
      </c>
      <c r="C26" s="271">
        <v>517</v>
      </c>
      <c r="D26" s="271">
        <f>C26-B26</f>
        <v>387</v>
      </c>
      <c r="E26" s="60">
        <v>6</v>
      </c>
      <c r="F26" s="269">
        <f>(E27+E26)/2</f>
        <v>6</v>
      </c>
      <c r="G26" s="269">
        <f>D26*F26</f>
        <v>2322</v>
      </c>
      <c r="H26" s="269">
        <f>'T6 ścieralna'!H26:H27</f>
        <v>80</v>
      </c>
      <c r="I26" s="269">
        <f>G26+H26</f>
        <v>2402</v>
      </c>
      <c r="J26" s="286" t="s">
        <v>203</v>
      </c>
    </row>
    <row r="27" spans="2:10">
      <c r="B27" s="272"/>
      <c r="C27" s="272"/>
      <c r="D27" s="272"/>
      <c r="E27" s="60">
        <v>6</v>
      </c>
      <c r="F27" s="270"/>
      <c r="G27" s="270"/>
      <c r="H27" s="270"/>
      <c r="I27" s="270"/>
      <c r="J27" s="272"/>
    </row>
    <row r="28" spans="2:10">
      <c r="B28" s="271">
        <v>0</v>
      </c>
      <c r="C28" s="271">
        <v>67</v>
      </c>
      <c r="D28" s="271">
        <f>C28-B28</f>
        <v>67</v>
      </c>
      <c r="E28" s="60">
        <v>5</v>
      </c>
      <c r="F28" s="269">
        <f>(E29+E28)/2</f>
        <v>5</v>
      </c>
      <c r="G28" s="269"/>
      <c r="H28" s="269"/>
      <c r="I28" s="269"/>
      <c r="J28" s="271" t="s">
        <v>213</v>
      </c>
    </row>
    <row r="29" spans="2:10">
      <c r="B29" s="272"/>
      <c r="C29" s="272"/>
      <c r="D29" s="272"/>
      <c r="E29" s="60">
        <v>5</v>
      </c>
      <c r="F29" s="270"/>
      <c r="G29" s="270"/>
      <c r="H29" s="270"/>
      <c r="I29" s="270"/>
      <c r="J29" s="272"/>
    </row>
    <row r="30" spans="2:10">
      <c r="B30" s="271">
        <v>0</v>
      </c>
      <c r="C30" s="271">
        <v>16</v>
      </c>
      <c r="D30" s="271">
        <f>C30-B30</f>
        <v>16</v>
      </c>
      <c r="E30" s="60">
        <v>3.5</v>
      </c>
      <c r="F30" s="269">
        <f>(E31+E30)/2</f>
        <v>3.5</v>
      </c>
      <c r="G30" s="269">
        <f>D30*F30</f>
        <v>56</v>
      </c>
      <c r="H30" s="269">
        <v>50</v>
      </c>
      <c r="I30" s="269">
        <f>G30+H30</f>
        <v>106</v>
      </c>
      <c r="J30" s="271" t="s">
        <v>204</v>
      </c>
    </row>
    <row r="31" spans="2:10">
      <c r="B31" s="272"/>
      <c r="C31" s="272"/>
      <c r="D31" s="272"/>
      <c r="E31" s="60">
        <v>3.5</v>
      </c>
      <c r="F31" s="270"/>
      <c r="G31" s="270"/>
      <c r="H31" s="270"/>
      <c r="I31" s="270"/>
      <c r="J31" s="272"/>
    </row>
    <row r="32" spans="2:10">
      <c r="B32" s="271">
        <v>16</v>
      </c>
      <c r="C32" s="271">
        <v>67</v>
      </c>
      <c r="D32" s="271">
        <f>C32-B32</f>
        <v>51</v>
      </c>
      <c r="E32" s="60">
        <v>3.5</v>
      </c>
      <c r="F32" s="269">
        <f t="shared" ref="F32" si="0">(E33+E32)/2</f>
        <v>3.5</v>
      </c>
      <c r="G32" s="269" t="s">
        <v>140</v>
      </c>
      <c r="H32" s="269"/>
      <c r="I32" s="269"/>
      <c r="J32" s="286" t="s">
        <v>204</v>
      </c>
    </row>
    <row r="33" spans="2:10">
      <c r="B33" s="272"/>
      <c r="C33" s="272"/>
      <c r="D33" s="272"/>
      <c r="E33" s="60">
        <v>3.5</v>
      </c>
      <c r="F33" s="270"/>
      <c r="G33" s="270"/>
      <c r="H33" s="270"/>
      <c r="I33" s="270"/>
      <c r="J33" s="272"/>
    </row>
    <row r="34" spans="2:10">
      <c r="B34" s="271">
        <v>67</v>
      </c>
      <c r="C34" s="271">
        <v>75</v>
      </c>
      <c r="D34" s="271">
        <f>C34-B34</f>
        <v>8</v>
      </c>
      <c r="E34" s="60">
        <v>3.5</v>
      </c>
      <c r="F34" s="269">
        <f t="shared" ref="F34" si="1">(E35+E34)/2</f>
        <v>3.5</v>
      </c>
      <c r="G34" s="269">
        <f>D34*F34</f>
        <v>28</v>
      </c>
      <c r="H34" s="269">
        <f>2*7.7</f>
        <v>15.4</v>
      </c>
      <c r="I34" s="269">
        <f t="shared" ref="I34" si="2">G34+H34</f>
        <v>43.4</v>
      </c>
      <c r="J34" s="271" t="s">
        <v>204</v>
      </c>
    </row>
    <row r="35" spans="2:10">
      <c r="B35" s="272"/>
      <c r="C35" s="272"/>
      <c r="D35" s="272"/>
      <c r="E35" s="60">
        <v>3.5</v>
      </c>
      <c r="F35" s="270"/>
      <c r="G35" s="270"/>
      <c r="H35" s="270"/>
      <c r="I35" s="270"/>
      <c r="J35" s="272"/>
    </row>
    <row r="36" spans="2:10">
      <c r="B36" s="271">
        <v>0</v>
      </c>
      <c r="C36" s="271">
        <v>43</v>
      </c>
      <c r="D36" s="271">
        <f>C36-B36</f>
        <v>43</v>
      </c>
      <c r="E36" s="60">
        <v>6</v>
      </c>
      <c r="F36" s="269">
        <f>(E37+E36)/2</f>
        <v>6</v>
      </c>
      <c r="G36" s="269">
        <f>D36*F36</f>
        <v>258</v>
      </c>
      <c r="H36" s="269"/>
      <c r="I36" s="269">
        <f>G36+H36</f>
        <v>258</v>
      </c>
      <c r="J36" s="271" t="s">
        <v>218</v>
      </c>
    </row>
    <row r="37" spans="2:10">
      <c r="B37" s="272"/>
      <c r="C37" s="272"/>
      <c r="D37" s="272"/>
      <c r="E37" s="60">
        <v>6</v>
      </c>
      <c r="F37" s="270"/>
      <c r="G37" s="270"/>
      <c r="H37" s="270"/>
      <c r="I37" s="270"/>
      <c r="J37" s="272"/>
    </row>
    <row r="38" spans="2:10">
      <c r="C38" s="65"/>
      <c r="D38" s="91">
        <f>SUM(D10:D37)</f>
        <v>872</v>
      </c>
      <c r="E38" s="92"/>
      <c r="F38" s="93" t="s">
        <v>142</v>
      </c>
      <c r="G38" s="94">
        <f>SUM(G10:G37)</f>
        <v>4377.75</v>
      </c>
      <c r="H38" s="94"/>
      <c r="I38" s="111">
        <f>SUM(I10:I37)</f>
        <v>4624.1099999999997</v>
      </c>
      <c r="J38" s="65"/>
    </row>
    <row r="40" spans="2:10">
      <c r="B40" s="310" t="s">
        <v>197</v>
      </c>
      <c r="C40" s="310"/>
      <c r="D40" s="310"/>
      <c r="E40" s="310"/>
      <c r="F40" s="310"/>
      <c r="G40" s="10">
        <f>'T4 Holland'!H18</f>
        <v>180.8</v>
      </c>
      <c r="H40" s="10"/>
      <c r="I40" s="10"/>
    </row>
    <row r="41" spans="2:10">
      <c r="B41" s="309" t="s">
        <v>198</v>
      </c>
      <c r="C41" s="294"/>
      <c r="D41" s="294"/>
      <c r="E41" s="294"/>
      <c r="F41" s="294"/>
      <c r="G41" s="112">
        <f>I38-G40</f>
        <v>4443.3100000000004</v>
      </c>
      <c r="H41" s="95"/>
      <c r="I41" s="95"/>
    </row>
  </sheetData>
  <sheetProtection password="CAC3" sheet="1" objects="1" scenarios="1"/>
  <mergeCells count="118">
    <mergeCell ref="B18:B19"/>
    <mergeCell ref="C18:C19"/>
    <mergeCell ref="D18:D19"/>
    <mergeCell ref="F18:F19"/>
    <mergeCell ref="G18:G19"/>
    <mergeCell ref="H18:H19"/>
    <mergeCell ref="I18:I19"/>
    <mergeCell ref="J18:J19"/>
    <mergeCell ref="B40:F40"/>
    <mergeCell ref="J30:J31"/>
    <mergeCell ref="B32:B33"/>
    <mergeCell ref="C32:C33"/>
    <mergeCell ref="D32:D33"/>
    <mergeCell ref="F32:F33"/>
    <mergeCell ref="G32:G33"/>
    <mergeCell ref="H32:H33"/>
    <mergeCell ref="I32:I33"/>
    <mergeCell ref="J32:J33"/>
    <mergeCell ref="B30:B31"/>
    <mergeCell ref="C30:C31"/>
    <mergeCell ref="D30:D31"/>
    <mergeCell ref="F30:F31"/>
    <mergeCell ref="G30:G31"/>
    <mergeCell ref="I30:I31"/>
    <mergeCell ref="B41:F41"/>
    <mergeCell ref="I34:I35"/>
    <mergeCell ref="J34:J35"/>
    <mergeCell ref="B36:B37"/>
    <mergeCell ref="C36:C37"/>
    <mergeCell ref="D36:D37"/>
    <mergeCell ref="F36:F37"/>
    <mergeCell ref="G36:G37"/>
    <mergeCell ref="I36:I37"/>
    <mergeCell ref="J36:J37"/>
    <mergeCell ref="B34:B35"/>
    <mergeCell ref="C34:C35"/>
    <mergeCell ref="D34:D35"/>
    <mergeCell ref="F34:F35"/>
    <mergeCell ref="G34:G35"/>
    <mergeCell ref="H34:H35"/>
    <mergeCell ref="H36:H37"/>
    <mergeCell ref="H30:H31"/>
    <mergeCell ref="I28:I29"/>
    <mergeCell ref="J28:J29"/>
    <mergeCell ref="B28:B29"/>
    <mergeCell ref="C28:C29"/>
    <mergeCell ref="D28:D29"/>
    <mergeCell ref="F28:F29"/>
    <mergeCell ref="G28:G29"/>
    <mergeCell ref="H28:H29"/>
    <mergeCell ref="I24:I25"/>
    <mergeCell ref="J24:J25"/>
    <mergeCell ref="B26:B27"/>
    <mergeCell ref="C26:C27"/>
    <mergeCell ref="D26:D27"/>
    <mergeCell ref="F26:F27"/>
    <mergeCell ref="G26:G27"/>
    <mergeCell ref="H26:H27"/>
    <mergeCell ref="I26:I27"/>
    <mergeCell ref="J26:J27"/>
    <mergeCell ref="B24:B25"/>
    <mergeCell ref="C24:C25"/>
    <mergeCell ref="D24:D25"/>
    <mergeCell ref="F24:F25"/>
    <mergeCell ref="G24:G25"/>
    <mergeCell ref="H24:H25"/>
    <mergeCell ref="I20:I21"/>
    <mergeCell ref="J20:J21"/>
    <mergeCell ref="B22:B23"/>
    <mergeCell ref="C22:C23"/>
    <mergeCell ref="D22:D23"/>
    <mergeCell ref="F22:F23"/>
    <mergeCell ref="G22:G23"/>
    <mergeCell ref="H22:H23"/>
    <mergeCell ref="I22:I23"/>
    <mergeCell ref="J22:J23"/>
    <mergeCell ref="B20:B21"/>
    <mergeCell ref="C20:C21"/>
    <mergeCell ref="D20:D21"/>
    <mergeCell ref="F20:F21"/>
    <mergeCell ref="G20:G21"/>
    <mergeCell ref="H20:H21"/>
    <mergeCell ref="B16:B17"/>
    <mergeCell ref="C16:C17"/>
    <mergeCell ref="D16:D17"/>
    <mergeCell ref="F16:F17"/>
    <mergeCell ref="G16:G17"/>
    <mergeCell ref="H16:H17"/>
    <mergeCell ref="I16:I17"/>
    <mergeCell ref="J16:J17"/>
    <mergeCell ref="B14:B15"/>
    <mergeCell ref="C14:C15"/>
    <mergeCell ref="D14:D15"/>
    <mergeCell ref="F14:F15"/>
    <mergeCell ref="G14:G15"/>
    <mergeCell ref="H14:H15"/>
    <mergeCell ref="B12:B13"/>
    <mergeCell ref="C12:C13"/>
    <mergeCell ref="D12:D13"/>
    <mergeCell ref="F12:F13"/>
    <mergeCell ref="G12:G13"/>
    <mergeCell ref="H12:H13"/>
    <mergeCell ref="I12:I13"/>
    <mergeCell ref="J12:J13"/>
    <mergeCell ref="I14:I15"/>
    <mergeCell ref="J14:J15"/>
    <mergeCell ref="B3:J3"/>
    <mergeCell ref="C6:J6"/>
    <mergeCell ref="D7:G7"/>
    <mergeCell ref="B8:C8"/>
    <mergeCell ref="B10:B11"/>
    <mergeCell ref="C10:C11"/>
    <mergeCell ref="D10:D11"/>
    <mergeCell ref="F10:F11"/>
    <mergeCell ref="G10:G11"/>
    <mergeCell ref="H10:H11"/>
    <mergeCell ref="I10:I11"/>
    <mergeCell ref="J10:J11"/>
  </mergeCells>
  <pageMargins left="0.75" right="0.75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4</vt:i4>
      </vt:variant>
    </vt:vector>
  </HeadingPairs>
  <TitlesOfParts>
    <vt:vector size="15" baseType="lpstr">
      <vt:lpstr>OFERTOWY</vt:lpstr>
      <vt:lpstr>PRZEDMIAR</vt:lpstr>
      <vt:lpstr>T1 zjazdy lewe</vt:lpstr>
      <vt:lpstr>T2 zj. prawe</vt:lpstr>
      <vt:lpstr>T3 ch.lewe</vt:lpstr>
      <vt:lpstr>T4 ch.prawe</vt:lpstr>
      <vt:lpstr>T4 Holland</vt:lpstr>
      <vt:lpstr>T5 studz.</vt:lpstr>
      <vt:lpstr>T7 wiążąca</vt:lpstr>
      <vt:lpstr>T6 ścieralna</vt:lpstr>
      <vt:lpstr>Wykaz studni</vt:lpstr>
      <vt:lpstr>OFERTOWY!Tytuły_wydruku</vt:lpstr>
      <vt:lpstr>PRZEDMIAR!Tytuły_wydruku</vt:lpstr>
      <vt:lpstr>'T4 ch.prawe'!Tytuły_wydruku</vt:lpstr>
      <vt:lpstr>'T3 ch.lewe'!www.interia.pl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Grzeszczak</dc:creator>
  <cp:lastModifiedBy>Windows User</cp:lastModifiedBy>
  <cp:lastPrinted>2015-01-14T16:55:01Z</cp:lastPrinted>
  <dcterms:created xsi:type="dcterms:W3CDTF">2010-05-09T13:52:00Z</dcterms:created>
  <dcterms:modified xsi:type="dcterms:W3CDTF">2015-01-14T17:24:58Z</dcterms:modified>
</cp:coreProperties>
</file>